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pac-my.sharepoint.com/personal/nopparat_ka_up_ac_th/Documents/เดสก์ท็อป/หลักฐาน Upload/หมวดที่ 1/1.5 ข้อมูลก๊าซ/1.5.2 ปริมาณก๊าซเรือนกระจกบรรลุเป้าหมาย/"/>
    </mc:Choice>
  </mc:AlternateContent>
  <xr:revisionPtr revIDLastSave="305" documentId="13_ncr:1_{3E6C9143-749F-44F1-AEBE-F3DD68D988BA}" xr6:coauthVersionLast="47" xr6:coauthVersionMax="47" xr10:uidLastSave="{3B29B55C-37E6-4064-BB7E-A18126B1F5FA}"/>
  <bookViews>
    <workbookView xWindow="-120" yWindow="-120" windowWidth="29040" windowHeight="15840" activeTab="2" xr2:uid="{00000000-000D-0000-FFFF-FFFF00000000}"/>
  </bookViews>
  <sheets>
    <sheet name="เทียบข้อมูลก๊าซเรือนกระจก" sheetId="6" r:id="rId1"/>
    <sheet name="สรุปการคำนวณ" sheetId="1" r:id="rId2"/>
    <sheet name="CH4จากระบบ septic tank" sheetId="4" r:id="rId3"/>
    <sheet name="CH4จากบ่อบำบัดไม่เติมอากาศ" sheetId="5" r:id="rId4"/>
  </sheets>
  <externalReferences>
    <externalReference r:id="rId5"/>
  </externalReferences>
  <definedNames>
    <definedName name="_xlnm.Print_Area" localSheetId="2">'CH4จากระบบ septic tank'!$A$1:$R$27</definedName>
    <definedName name="_xlnm.Print_Area" localSheetId="1">สรุปการคำนวณ!$A$2:$AE$46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6" l="1"/>
  <c r="G7" i="6"/>
  <c r="G8" i="6"/>
  <c r="G9" i="6"/>
  <c r="G5" i="6"/>
  <c r="E10" i="6"/>
  <c r="F6" i="6" l="1"/>
  <c r="F7" i="6"/>
  <c r="F8" i="6"/>
  <c r="F9" i="6"/>
  <c r="F5" i="6"/>
  <c r="E6" i="6"/>
  <c r="E7" i="6"/>
  <c r="E8" i="6"/>
  <c r="E9" i="6"/>
  <c r="E5" i="6"/>
  <c r="C17" i="6"/>
  <c r="C18" i="6" l="1"/>
  <c r="E16" i="6"/>
  <c r="E15" i="6"/>
  <c r="E14" i="6"/>
  <c r="E13" i="6"/>
  <c r="E12" i="6"/>
  <c r="E11" i="6"/>
  <c r="E18" i="6" s="1"/>
  <c r="G2" i="4"/>
  <c r="O10" i="1"/>
  <c r="M10" i="1"/>
  <c r="K10" i="1"/>
  <c r="I10" i="1"/>
  <c r="G10" i="1"/>
  <c r="I7" i="1"/>
  <c r="K7" i="1"/>
  <c r="M7" i="1"/>
  <c r="E17" i="6" l="1"/>
  <c r="D3" i="5"/>
  <c r="E3" i="5"/>
  <c r="F3" i="5"/>
  <c r="G3" i="5"/>
  <c r="H3" i="5"/>
  <c r="I3" i="5"/>
  <c r="J3" i="5"/>
  <c r="K3" i="5"/>
  <c r="L3" i="5"/>
  <c r="M3" i="5"/>
  <c r="N3" i="5"/>
  <c r="C3" i="5"/>
  <c r="O3" i="5" s="1"/>
  <c r="I9" i="1" l="1"/>
  <c r="G9" i="1"/>
  <c r="Q7" i="1" l="1"/>
  <c r="Q9" i="1"/>
  <c r="Q10" i="1"/>
  <c r="Q11" i="1"/>
  <c r="O7" i="1"/>
  <c r="O9" i="1"/>
  <c r="O11" i="1"/>
  <c r="M9" i="1"/>
  <c r="M11" i="1"/>
  <c r="K9" i="1"/>
  <c r="K11" i="1"/>
  <c r="I11" i="1"/>
  <c r="G7" i="1"/>
  <c r="G11" i="1"/>
  <c r="O3" i="4"/>
  <c r="G23" i="4" s="1"/>
  <c r="O4" i="5"/>
  <c r="N12" i="5" s="1"/>
  <c r="N13" i="5" s="1"/>
  <c r="D4" i="5"/>
  <c r="C12" i="5" s="1"/>
  <c r="C13" i="5" s="1"/>
  <c r="E4" i="5"/>
  <c r="D12" i="5" s="1"/>
  <c r="D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B13" i="5" s="1"/>
  <c r="AD7" i="1" l="1"/>
  <c r="AD10" i="1"/>
  <c r="AD9" i="1"/>
  <c r="C19" i="1" s="1"/>
  <c r="AD11" i="1"/>
  <c r="C20" i="1" l="1"/>
  <c r="O2" i="4"/>
  <c r="J23" i="4" s="1"/>
  <c r="I23" i="4"/>
  <c r="Q2" i="4" l="1"/>
  <c r="G4" i="4" s="1"/>
  <c r="C23" i="4"/>
  <c r="E4" i="4"/>
  <c r="J8" i="1" s="1"/>
  <c r="K4" i="4"/>
  <c r="D4" i="4"/>
  <c r="H8" i="1" s="1"/>
  <c r="J4" i="4"/>
  <c r="D29" i="4"/>
  <c r="N8" i="1" l="1"/>
  <c r="O8" i="1" s="1"/>
  <c r="K8" i="1"/>
  <c r="I8" i="1"/>
  <c r="M4" i="4"/>
  <c r="I4" i="4"/>
  <c r="C4" i="4"/>
  <c r="F8" i="1" s="1"/>
  <c r="F4" i="4"/>
  <c r="L8" i="1" s="1"/>
  <c r="L4" i="4"/>
  <c r="H4" i="4"/>
  <c r="N4" i="4"/>
  <c r="P8" i="1" l="1"/>
  <c r="Q8" i="1" s="1"/>
  <c r="D10" i="6" s="1"/>
  <c r="G10" i="6" s="1"/>
  <c r="G8" i="1"/>
  <c r="M8" i="1"/>
  <c r="O4" i="4"/>
  <c r="D19" i="6" l="1"/>
  <c r="F10" i="6"/>
  <c r="D17" i="6"/>
  <c r="D18" i="6"/>
  <c r="AD8" i="1"/>
  <c r="AD12" i="1" s="1"/>
  <c r="F19" i="6" l="1"/>
  <c r="F17" i="6"/>
  <c r="F18" i="6"/>
  <c r="C18" i="1"/>
  <c r="C21" i="1" s="1"/>
  <c r="D20" i="1" l="1"/>
  <c r="D19" i="1"/>
  <c r="D21" i="1"/>
  <c r="D18" i="1"/>
</calcChain>
</file>

<file path=xl/sharedStrings.xml><?xml version="1.0" encoding="utf-8"?>
<sst xmlns="http://schemas.openxmlformats.org/spreadsheetml/2006/main" count="186" uniqueCount="119">
  <si>
    <t>แบบฟอร์ม 1.5(1)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</si>
  <si>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</si>
  <si>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ขอบเขตการดำเนินงาน</t>
  </si>
  <si>
    <t>รายการ</t>
  </si>
  <si>
    <t>EF</t>
  </si>
  <si>
    <t>หน่วย</t>
  </si>
  <si>
    <t>หน่วย
การเก็บข้อมูล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</si>
  <si>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</si>
  <si>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</si>
  <si>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</si>
  <si>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</si>
  <si>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</si>
  <si>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</si>
  <si>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</si>
  <si>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</si>
  <si>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</si>
  <si>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</si>
  <si>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</si>
  <si>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</si>
  <si>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รวม</t>
  </si>
  <si>
    <t>ปริมาณ</t>
  </si>
  <si>
    <t>CF</t>
  </si>
  <si>
    <t>ประเภท 1</t>
  </si>
  <si>
    <t xml:space="preserve">การใช้น้ำมันดีเซลสำหรับรถตู้คณะ </t>
  </si>
  <si>
    <t>kg CO2e/ลิตร</t>
  </si>
  <si>
    <t>ลิตร</t>
  </si>
  <si>
    <t>tCO2e</t>
  </si>
  <si>
    <t>การปล่อยสารมีเทนจากระบบ septic tank</t>
  </si>
  <si>
    <t>kg CO2e/kgCH4</t>
  </si>
  <si>
    <t>kgCH4</t>
  </si>
  <si>
    <t>ประเภท 2</t>
  </si>
  <si>
    <t xml:space="preserve">การใช้พลังงานไฟฟ้า </t>
  </si>
  <si>
    <t>kg CO2e/kWh</t>
  </si>
  <si>
    <t>kWh</t>
  </si>
  <si>
    <t>ประเภท 3</t>
  </si>
  <si>
    <t xml:space="preserve">การใช้กระดาษ A4 และ A3 (สีขาว) </t>
  </si>
  <si>
    <t>kg CO2e/kg</t>
  </si>
  <si>
    <t>kg</t>
  </si>
  <si>
    <t>kg CO2e/m3</t>
  </si>
  <si>
    <t>m3</t>
  </si>
  <si>
    <t>.</t>
  </si>
  <si>
    <t>ขอบเขตดำเนินงาน</t>
  </si>
  <si>
    <t>GHG</t>
  </si>
  <si>
    <t>%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</si>
  <si>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</si>
  <si>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</si>
  <si>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</si>
  <si>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</si>
  <si>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</si>
  <si>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</si>
  <si>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</si>
  <si>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</si>
  <si>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</si>
  <si>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</si>
  <si>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</si>
  <si>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</si>
  <si>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</si>
  <si>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</si>
  <si>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</si>
  <si>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ค่า fix ห้ามแก้</t>
  </si>
  <si>
    <t>จำนวนวันเปิดบริการ/ทำการ</t>
  </si>
  <si>
    <t>(มาจากแถวที่ 23)</t>
  </si>
  <si>
    <t>จำนวนพนักงานองค์กร</t>
  </si>
  <si>
    <t>CH4 Emission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</si>
  <si>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</si>
  <si>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หมายหตุ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</si>
  <si>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</si>
  <si>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</si>
  <si>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 xml:space="preserve">EF   =  0.6 kg CH4 / kg BOD  x  0.5  
       =  0.3 kg CH4 / kg BOD </t>
  </si>
  <si>
    <t xml:space="preserve">Ui </t>
  </si>
  <si>
    <t>Tij</t>
  </si>
  <si>
    <t>Efj</t>
  </si>
  <si>
    <t>จำนวนพนักงานเฉลี่ย</t>
  </si>
  <si>
    <t>TOW
BOD</t>
  </si>
  <si>
    <t>จำนวนวัน
ทำงาน</t>
  </si>
  <si>
    <t xml:space="preserve">สมมุติฐานถังบำบัดน้ำเสีย
จากห้องน้ำแบบไม่เติมอากาศ  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</si>
  <si>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</si>
  <si>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สมการการคำนวณปริมาณมีเทนจากระบบ แบบไม่เติมอากาศ = 0.2 × [(Wi × CODin)-S]</t>
  </si>
  <si>
    <t>Wi = ปริมาณน้ำเสีย (ลบ.ม.)</t>
  </si>
  <si>
    <t>COD = ความต้องการออกซิเจนทางเคมีของน้ำเสียขาเข้า kgCODin/L</t>
  </si>
  <si>
    <t>S = สารอินทรีย์ที่ถูกกำจัดในรูปของสลัดจ์ (กิโลกรัม COD)</t>
  </si>
  <si>
    <t>ปริมาณน้ำเสียเฉลี่ย (ลบ.ม)</t>
  </si>
  <si>
    <t>CH4 (kgCH4)</t>
  </si>
  <si>
    <r>
      <t>ปริมาณน้ำใช้ในรอบปี m</t>
    </r>
    <r>
      <rPr>
        <vertAlign val="superscript"/>
        <sz val="16"/>
        <color theme="1"/>
        <rFont val="TH Niramit AS"/>
      </rPr>
      <t>3</t>
    </r>
    <r>
      <rPr>
        <sz val="16"/>
        <color theme="1"/>
        <rFont val="TH Niramit AS"/>
      </rPr>
      <t xml:space="preserve"> (คิดเฉพาะในสำนักงาน)</t>
    </r>
  </si>
  <si>
    <r>
      <t>ปริมาณน้ำเสียคิดเป็น 80% m</t>
    </r>
    <r>
      <rPr>
        <vertAlign val="superscript"/>
        <sz val="16"/>
        <color theme="1"/>
        <rFont val="TH Niramit AS"/>
      </rPr>
      <t>3</t>
    </r>
  </si>
  <si>
    <t>ปีคำนวณ 2563</t>
  </si>
  <si>
    <t>kgCO2e</t>
  </si>
  <si>
    <t>น้ำประปา</t>
  </si>
  <si>
    <t>เดือน / ประจำปี 2564</t>
  </si>
  <si>
    <t>ประจำปี 2564 (ม.ค.-ธ.ค.)</t>
  </si>
  <si>
    <t>บันทึกประจำ
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</si>
  <si>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</si>
  <si>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</si>
  <si>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</si>
  <si>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</si>
  <si>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</si>
  <si>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</si>
  <si>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</si>
  <si>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</si>
  <si>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</si>
  <si>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</si>
  <si>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</si>
  <si>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</si>
  <si>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เฉลี่ย</t>
  </si>
  <si>
    <t>เทียบ 2 ปี</t>
  </si>
  <si>
    <t>ปริมาณก๊าซเรือนกระจก (kgCo2eq)</t>
  </si>
  <si>
    <t>ปริมาณก๊าซเรือนกระจกต่อจำนวนพนักงาน (kgCo2eq./คน)</t>
  </si>
  <si>
    <t>จำนวนพนักงาน</t>
  </si>
  <si>
    <t>เทียบ 2 ปี (เป้า -5%)</t>
  </si>
  <si>
    <t>1. โครงการติดตั้งอุปกรณ์ตั้งเวลา เปิด-ปิดเครื่องอากาศ และโครงการบำรุงรักษาเครื่องปรับอากาศ</t>
  </si>
  <si>
    <t>2. มาตรการแบบ House Keeping และการรณรงค์สร้างจิตสำนึก</t>
  </si>
  <si>
    <t>**ปัจจัยที่ทำให้ปริมาณก๊าซเรือนกระจกบรรลุเป้าหมายเนื่องจาก</t>
  </si>
  <si>
    <t>ปัจจัยที่ทำให้ปริมาณก๊าซเรือนกระจกบรรลุเป้าหมาย</t>
  </si>
  <si>
    <t>ร้อยละผลประหยัด</t>
  </si>
  <si>
    <t>มาตรการแบบ House Keeping และการรณรงค์สร้างจิตสำนึก การจดบันทึก และบางส่วนจากกิจกรรมที่ลดลง</t>
  </si>
  <si>
    <t xml:space="preserve">มาตรการแบบ House Keeping และการรณรงค์สร้างจิตสำนึก การจดบันทึก โครงการบำรุงรักษาเครื่องปรับอากาศ โครงการติดตั้งอุปกรณ์ตั้งเวลา เปิด-ปิดเครื่องอากาศ </t>
  </si>
  <si>
    <t>มีการรณรงค์และสร้างจิตสำนึก และเริ่มการจดบันทึก</t>
  </si>
  <si>
    <t>มาตรการแบบ House Keeping และการรณรงค์สร้างจิตสำนึก การจดบันทึก</t>
  </si>
  <si>
    <t>มีกิจกรรมที่เพิ่มขึ้นจากปีที่ผ่านมา ทำให้การปล่อยก๊ซเรือนกระจกมีค่าสูงขึ้นเมื่อเทียบกับเดือนเดียวกันในปีที่แล้วที่มีกิจกรรมน้อย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</si>
</sst>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0.0000"/>
    <numFmt numFmtId="188" formatCode="_(* #,##0.00_);_(* \(#,##0.00\);_(* &quot;-&quot;??_);_(@_)"/>
    <numFmt numFmtId="189" formatCode="_-* #,##0_-;\-* #,##0_-;_-* &quot;-&quot;??_-;_-@_-"/>
    <numFmt numFmtId="190" formatCode="_-* #,##0.0_-;\-* #,##0.0_-;_-* &quot;-&quot;??_-;_-@_-"/>
    <numFmt numFmtId="191" formatCode="0.0"/>
    <numFmt numFmtId="192" formatCode="0.0%"/>
  </numFmts>
  <fonts count="2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sz val="14"/>
      <color rgb="FFFF0000"/>
      <name val="Cordia New"/>
      <family val="2"/>
    </font>
    <font>
      <b/>
      <sz val="14"/>
      <color theme="1"/>
      <name val="Cordia New"/>
      <family val="2"/>
    </font>
    <font>
      <sz val="14"/>
      <color theme="1"/>
      <name val="Cordia New"/>
      <family val="2"/>
    </font>
    <font>
      <b/>
      <sz val="14"/>
      <name val="TH Niramit AS"/>
    </font>
    <font>
      <sz val="14"/>
      <name val="TH Niramit AS"/>
    </font>
    <font>
      <b/>
      <sz val="16"/>
      <name val="TH Niramit AS"/>
    </font>
    <font>
      <b/>
      <sz val="17"/>
      <name val="TH Niramit AS"/>
    </font>
    <font>
      <sz val="17"/>
      <name val="TH Niramit AS"/>
    </font>
    <font>
      <sz val="17"/>
      <color theme="1"/>
      <name val="TH Niramit AS"/>
    </font>
    <font>
      <sz val="16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b/>
      <sz val="16"/>
      <color rgb="FF000000"/>
      <name val="TH Niramit AS"/>
    </font>
    <font>
      <sz val="16"/>
      <color rgb="FF000000"/>
      <name val="TH Niramit AS"/>
    </font>
    <font>
      <b/>
      <sz val="20"/>
      <color theme="1"/>
      <name val="TH Niramit AS"/>
    </font>
    <font>
      <b/>
      <u/>
      <sz val="16"/>
      <color theme="1"/>
      <name val="TH Niramit AS"/>
    </font>
    <font>
      <b/>
      <sz val="16"/>
      <color rgb="FFFF0000"/>
      <name val="TH Niramit AS"/>
    </font>
    <font>
      <vertAlign val="superscript"/>
      <sz val="16"/>
      <color theme="1"/>
      <name val="TH Niramit AS"/>
    </font>
    <font>
      <b/>
      <sz val="17"/>
      <color theme="1"/>
      <name val="TH Niramit AS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color theme="1"/>
      <name val="TH Sarabun New"/>
      <family val="2"/>
    </font>
    <font>
      <sz val="14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88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22">
    <xf numFmtId="0" fontId="0" fillId="0" borderId="0" xfId="0"/>
    <xf numFmtId="0" fontId="2" fillId="3" borderId="0" xfId="0" applyFont="1" applyFill="1"/>
    <xf numFmtId="43" fontId="2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right" vertical="center"/>
    </xf>
    <xf numFmtId="4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top" wrapText="1"/>
    </xf>
    <xf numFmtId="4" fontId="4" fillId="3" borderId="0" xfId="0" applyNumberFormat="1" applyFont="1" applyFill="1" applyBorder="1" applyAlignment="1">
      <alignment horizontal="center" vertical="top" wrapText="1"/>
    </xf>
    <xf numFmtId="1" fontId="4" fillId="3" borderId="0" xfId="0" applyNumberFormat="1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87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12" fillId="3" borderId="1" xfId="0" applyFont="1" applyFill="1" applyBorder="1" applyAlignment="1">
      <alignment vertical="center" wrapText="1"/>
    </xf>
    <xf numFmtId="187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0" applyNumberFormat="1" applyFont="1" applyFill="1" applyBorder="1" applyAlignment="1">
      <alignment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1" fontId="13" fillId="3" borderId="1" xfId="0" applyNumberFormat="1" applyFont="1" applyFill="1" applyBorder="1" applyAlignment="1">
      <alignment horizontal="center" vertical="top" wrapText="1"/>
    </xf>
    <xf numFmtId="0" fontId="15" fillId="3" borderId="0" xfId="0" applyFont="1" applyFill="1"/>
    <xf numFmtId="0" fontId="15" fillId="3" borderId="1" xfId="0" applyFont="1" applyFill="1" applyBorder="1" applyAlignment="1">
      <alignment horizontal="center"/>
    </xf>
    <xf numFmtId="2" fontId="15" fillId="3" borderId="1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7" fillId="8" borderId="0" xfId="0" applyFont="1" applyFill="1"/>
    <xf numFmtId="0" fontId="15" fillId="3" borderId="0" xfId="0" applyFont="1" applyFill="1" applyAlignment="1">
      <alignment horizontal="center"/>
    </xf>
    <xf numFmtId="0" fontId="18" fillId="8" borderId="0" xfId="0" applyFont="1" applyFill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4" fillId="2" borderId="1" xfId="0" applyFont="1" applyFill="1" applyBorder="1"/>
    <xf numFmtId="2" fontId="15" fillId="2" borderId="1" xfId="0" applyNumberFormat="1" applyFont="1" applyFill="1" applyBorder="1" applyAlignment="1">
      <alignment horizontal="center"/>
    </xf>
    <xf numFmtId="0" fontId="14" fillId="3" borderId="0" xfId="0" applyFont="1" applyFill="1" applyBorder="1" applyAlignment="1"/>
    <xf numFmtId="0" fontId="15" fillId="3" borderId="1" xfId="0" applyFont="1" applyFill="1" applyBorder="1"/>
    <xf numFmtId="0" fontId="19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4" fillId="3" borderId="1" xfId="1" applyFont="1" applyFill="1" applyBorder="1"/>
    <xf numFmtId="0" fontId="15" fillId="5" borderId="1" xfId="1" applyFont="1" applyFill="1" applyBorder="1"/>
    <xf numFmtId="0" fontId="16" fillId="2" borderId="1" xfId="1" applyFont="1" applyFill="1" applyBorder="1" applyAlignment="1">
      <alignment horizontal="right"/>
    </xf>
    <xf numFmtId="0" fontId="19" fillId="7" borderId="0" xfId="0" applyFont="1" applyFill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4" fillId="3" borderId="0" xfId="1" applyFont="1" applyFill="1"/>
    <xf numFmtId="0" fontId="20" fillId="3" borderId="0" xfId="0" applyFont="1" applyFill="1"/>
    <xf numFmtId="0" fontId="15" fillId="3" borderId="0" xfId="0" applyFont="1" applyFill="1" applyAlignment="1">
      <alignment wrapText="1"/>
    </xf>
    <xf numFmtId="0" fontId="15" fillId="3" borderId="0" xfId="0" applyFont="1" applyFill="1" applyBorder="1"/>
    <xf numFmtId="0" fontId="1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center"/>
    </xf>
    <xf numFmtId="43" fontId="21" fillId="3" borderId="1" xfId="0" applyNumberFormat="1" applyFont="1" applyFill="1" applyBorder="1" applyAlignment="1">
      <alignment vertical="center"/>
    </xf>
    <xf numFmtId="189" fontId="15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right" vertical="center"/>
    </xf>
    <xf numFmtId="190" fontId="14" fillId="3" borderId="0" xfId="1" applyNumberFormat="1" applyFont="1" applyFill="1"/>
    <xf numFmtId="43" fontId="15" fillId="2" borderId="1" xfId="1" applyNumberFormat="1" applyFont="1" applyFill="1" applyBorder="1"/>
    <xf numFmtId="0" fontId="12" fillId="0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center" vertical="top" wrapText="1"/>
    </xf>
    <xf numFmtId="4" fontId="23" fillId="3" borderId="1" xfId="0" applyNumberFormat="1" applyFont="1" applyFill="1" applyBorder="1" applyAlignment="1">
      <alignment horizontal="center" vertical="top" wrapText="1"/>
    </xf>
    <xf numFmtId="1" fontId="23" fillId="3" borderId="1" xfId="0" applyNumberFormat="1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/>
    <xf numFmtId="0" fontId="26" fillId="3" borderId="0" xfId="0" applyFont="1" applyFill="1"/>
    <xf numFmtId="191" fontId="25" fillId="3" borderId="1" xfId="0" applyNumberFormat="1" applyFont="1" applyFill="1" applyBorder="1" applyAlignment="1">
      <alignment horizontal="center"/>
    </xf>
    <xf numFmtId="192" fontId="25" fillId="3" borderId="1" xfId="4" applyNumberFormat="1" applyFont="1" applyFill="1" applyBorder="1"/>
    <xf numFmtId="2" fontId="7" fillId="0" borderId="0" xfId="0" applyNumberFormat="1" applyFont="1" applyFill="1" applyAlignment="1">
      <alignment vertical="center"/>
    </xf>
    <xf numFmtId="0" fontId="26" fillId="3" borderId="1" xfId="0" applyFont="1" applyFill="1" applyBorder="1" applyAlignment="1">
      <alignment horizontal="center" vertical="center" wrapText="1"/>
    </xf>
    <xf numFmtId="190" fontId="26" fillId="3" borderId="1" xfId="3" applyNumberFormat="1" applyFont="1" applyFill="1" applyBorder="1"/>
    <xf numFmtId="0" fontId="25" fillId="3" borderId="1" xfId="0" applyFont="1" applyFill="1" applyBorder="1"/>
    <xf numFmtId="190" fontId="25" fillId="3" borderId="1" xfId="3" applyNumberFormat="1" applyFont="1" applyFill="1" applyBorder="1"/>
    <xf numFmtId="0" fontId="27" fillId="0" borderId="0" xfId="0" applyFont="1"/>
    <xf numFmtId="0" fontId="28" fillId="0" borderId="0" xfId="0" applyFont="1"/>
    <xf numFmtId="0" fontId="0" fillId="0" borderId="1" xfId="0" applyBorder="1"/>
    <xf numFmtId="190" fontId="25" fillId="3" borderId="0" xfId="3" applyNumberFormat="1" applyFont="1" applyFill="1" applyBorder="1"/>
    <xf numFmtId="192" fontId="25" fillId="3" borderId="0" xfId="4" applyNumberFormat="1" applyFont="1" applyFill="1" applyBorder="1"/>
    <xf numFmtId="192" fontId="26" fillId="3" borderId="1" xfId="4" applyNumberFormat="1" applyFont="1" applyFill="1" applyBorder="1"/>
    <xf numFmtId="0" fontId="25" fillId="3" borderId="9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/>
    </xf>
  </cellXfs>
  <cellStyles count="5">
    <cellStyle name="Comma 2" xfId="2" xr:uid="{00000000-0005-0000-0000-000000000000}"/>
    <cellStyle name="Normal 2 2" xfId="1" xr:uid="{00000000-0005-0000-0000-000002000000}"/>
    <cellStyle name="จุลภาค" xfId="3" builtinId="3"/>
    <cellStyle name="ปกติ" xfId="0" builtinId="0"/>
    <cellStyle name="เปอร์เซ็นต์" xfId="4" builtinId="5"/>
  </cellStyles>
  <dxfs count="0"/>
  <tableStyles count="0" defaultTableStyle="TableStyleMedium9" defaultPivotStyle="PivotStyleLight16"/>
  <colors>
    <mruColors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9232552462442826E-2"/>
          <c:y val="0.1593517642361304"/>
          <c:w val="0.90758424385304381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0-8AF9-4E68-B5F7-681C0FAA258E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1-8AF9-4E68-B5F7-681C0FAA258E}"/>
              </c:ext>
            </c:extLst>
          </c:dPt>
          <c:cat>
            <c:strRef>
              <c:f>สรุปการคำนวณ!$B$18:$B$20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สรุปการคำนวณ!$C$18:$C$20</c:f>
              <c:numCache>
                <c:formatCode>#,##0.00</c:formatCode>
                <c:ptCount val="3"/>
                <c:pt idx="0">
                  <c:v>3.0883230049999999</c:v>
                </c:pt>
                <c:pt idx="1">
                  <c:v>5.6128772000000007</c:v>
                </c:pt>
                <c:pt idx="2">
                  <c:v>0.76520612900000018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9-4E68-B5F7-681C0FAA2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5654352"/>
        <c:axId val="275656784"/>
        <c:axId val="0"/>
      </c:bar3DChart>
      <c:catAx>
        <c:axId val="27565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H Niramit AS" panose="02000506000000020004" pitchFamily="2" charset="-34"/>
                <a:cs typeface="TH Niramit AS" panose="02000506000000020004" pitchFamily="2" charset="-34"/>
              </a:defRPr>
            </a:pPr>
            <a:endParaRPr lang="th-TH"/>
          </a:p>
        </c:txPr>
        <c:crossAx val="275656784"/>
        <c:crosses val="autoZero"/>
        <c:auto val="1"/>
        <c:lblAlgn val="ctr"/>
        <c:lblOffset val="100"/>
        <c:noMultiLvlLbl val="0"/>
      </c:catAx>
      <c:valAx>
        <c:axId val="2756567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H Niramit AS" panose="02000506000000020004" pitchFamily="2" charset="-34"/>
                <a:cs typeface="TH Niramit AS" panose="02000506000000020004" pitchFamily="2" charset="-34"/>
              </a:defRPr>
            </a:pPr>
            <a:endParaRPr lang="th-TH"/>
          </a:p>
        </c:txPr>
        <c:crossAx val="275654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418785147373447"/>
          <c:y val="0.3741012076706226"/>
          <c:w val="7.5742872581045978E-2"/>
          <c:h val="0.28336904803337126"/>
        </c:manualLayout>
      </c:layout>
      <c:overlay val="0"/>
      <c:txPr>
        <a:bodyPr/>
        <a:lstStyle/>
        <a:p>
          <a:pPr>
            <a:defRPr>
              <a:latin typeface="TH Niramit AS" panose="02000506000000020004" pitchFamily="2" charset="-34"/>
              <a:cs typeface="TH Niramit AS" panose="02000506000000020004" pitchFamily="2" charset="-34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bg1"/>
                </a:solidFill>
                <a:latin typeface="FC Friday" panose="020B0500040200020003" pitchFamily="34" charset="-34"/>
                <a:ea typeface="+mn-ea"/>
                <a:cs typeface="FC Friday" panose="020B0500040200020003" pitchFamily="34" charset="-34"/>
              </a:defRPr>
            </a:pPr>
            <a:r>
              <a:rPr lang="th-TH" sz="3200"/>
              <a:t>ก๊าซเรือนกระจก</a:t>
            </a:r>
            <a:r>
              <a:rPr lang="en-US" sz="3200"/>
              <a:t> </a:t>
            </a:r>
            <a:r>
              <a:rPr lang="th-TH" sz="3200"/>
              <a:t>คณะวิศวกรรมศาสตร์ มหาวิทยาลัยพะเยา ปี 2564</a:t>
            </a:r>
            <a:endParaRPr lang="en-US" sz="3200"/>
          </a:p>
        </c:rich>
      </c:tx>
      <c:layout>
        <c:manualLayout>
          <c:xMode val="edge"/>
          <c:yMode val="edge"/>
          <c:x val="0.10539493592712673"/>
          <c:y val="1.5366900165134128E-2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baseline="0">
              <a:solidFill>
                <a:schemeClr val="bg1"/>
              </a:solidFill>
              <a:latin typeface="FC Friday" panose="020B0500040200020003" pitchFamily="34" charset="-34"/>
              <a:ea typeface="+mn-ea"/>
              <a:cs typeface="FC Friday" panose="020B0500040200020003" pitchFamily="34" charset="-34"/>
            </a:defRPr>
          </a:pPr>
          <a:endParaRPr lang="th-TH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242089868906215"/>
          <c:y val="0.21703730906695812"/>
          <c:w val="0.41516103134167054"/>
          <c:h val="0.78296268773833277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C4C8-40A3-879D-729A0BD6E466}"/>
              </c:ext>
            </c:extLst>
          </c:dPt>
          <c:dPt>
            <c:idx val="1"/>
            <c:bubble3D val="0"/>
            <c:explosion val="8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4C8-40A3-879D-729A0BD6E466}"/>
              </c:ext>
            </c:extLst>
          </c:dPt>
          <c:dPt>
            <c:idx val="2"/>
            <c:bubble3D val="0"/>
            <c:explosion val="13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4C8-40A3-879D-729A0BD6E466}"/>
              </c:ext>
            </c:extLst>
          </c:dPt>
          <c:dLbls>
            <c:dLbl>
              <c:idx val="0"/>
              <c:layout>
                <c:manualLayout>
                  <c:x val="3.6872771287357824E-2"/>
                  <c:y val="3.7571381524854418E-2"/>
                </c:manualLayout>
              </c:layout>
              <c:tx>
                <c:rich>
                  <a:bodyPr/>
                  <a:lstStyle/>
                  <a:p>
                    <a:fld id="{04EE7D70-A56F-4F55-B3C1-B487E66BC2BE}" type="CATEGORYNAM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[ชื่อประเภท]</a:t>
                    </a:fld>
                    <a:r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t>
</a:t>
                    </a:r>
                    <a:fld id="{B4D38118-CF58-45C3-B0A8-ADEEC6E6268C}" type="PERCENTAG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[เปอร์เซ็นต์]</a:t>
                    </a:fld>
                    <a:endParaRPr lang="th-TH" sz="3500">
                      <a:latin typeface="DB Helvethaica X 35 Thin" panose="02000506090000020004" pitchFamily="2" charset="-34"/>
                      <a:cs typeface="DB Helvethaica X 35 Thin" panose="02000506090000020004" pitchFamily="2" charset="-34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50109924844552"/>
                      <c:h val="0.175976041642327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4C8-40A3-879D-729A0BD6E466}"/>
                </c:ext>
              </c:extLst>
            </c:dLbl>
            <c:dLbl>
              <c:idx val="1"/>
              <c:layout>
                <c:manualLayout>
                  <c:x val="-4.6998688552368072E-2"/>
                  <c:y val="-3.9278946604079379E-2"/>
                </c:manualLayout>
              </c:layout>
              <c:tx>
                <c:rich>
                  <a:bodyPr/>
                  <a:lstStyle/>
                  <a:p>
                    <a:fld id="{21FFCBAC-8E99-454D-8EB1-3A534C45F17D}" type="CATEGORYNAM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[ชื่อประเภท]</a:t>
                    </a:fld>
                    <a:r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t>
</a:t>
                    </a:r>
                    <a:fld id="{BF4427C1-AFF0-403F-8D81-562FFD86D4D8}" type="PERCENTAG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[เปอร์เซ็นต์]</a:t>
                    </a:fld>
                    <a:endParaRPr lang="th-TH" sz="3500">
                      <a:latin typeface="DB Helvethaica X 35 Thin" panose="02000506090000020004" pitchFamily="2" charset="-34"/>
                      <a:cs typeface="DB Helvethaica X 35 Thin" panose="02000506090000020004" pitchFamily="2" charset="-34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954386602723189"/>
                      <c:h val="0.175976041642327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4C8-40A3-879D-729A0BD6E466}"/>
                </c:ext>
              </c:extLst>
            </c:dLbl>
            <c:dLbl>
              <c:idx val="2"/>
              <c:layout>
                <c:manualLayout>
                  <c:x val="-3.9182576185881057E-2"/>
                  <c:y val="4.3979204700441733E-3"/>
                </c:manualLayout>
              </c:layout>
              <c:tx>
                <c:rich>
                  <a:bodyPr/>
                  <a:lstStyle/>
                  <a:p>
                    <a:fld id="{C10FE7AC-518C-463E-A487-5DD1F73100B9}" type="CATEGORYNAM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[ชื่อประเภท]</a:t>
                    </a:fld>
                    <a:r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t>
</a:t>
                    </a:r>
                    <a:fld id="{FC157F96-325E-4EFB-A54D-7F9FD7BEFD00}" type="PERCENTAG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[เปอร์เซ็นต์]</a:t>
                    </a:fld>
                    <a:endParaRPr lang="th-TH" sz="3500">
                      <a:latin typeface="DB Helvethaica X 35 Thin" panose="02000506090000020004" pitchFamily="2" charset="-34"/>
                      <a:cs typeface="DB Helvethaica X 35 Thin" panose="02000506090000020004" pitchFamily="2" charset="-34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56524941662506"/>
                      <c:h val="0.175976041642327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4C8-40A3-879D-729A0BD6E46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bg1"/>
                    </a:solidFill>
                    <a:latin typeface="FC Friday" panose="020B0500040200020003" pitchFamily="34" charset="-34"/>
                    <a:ea typeface="+mn-ea"/>
                    <a:cs typeface="FC Friday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สรุปการคำนวณ!$B$18:$B$20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สรุปการคำนวณ!$D$18:$D$20</c:f>
              <c:numCache>
                <c:formatCode>0</c:formatCode>
                <c:ptCount val="3"/>
                <c:pt idx="0">
                  <c:v>32.624027492965624</c:v>
                </c:pt>
                <c:pt idx="1">
                  <c:v>59.292586879991823</c:v>
                </c:pt>
                <c:pt idx="2">
                  <c:v>8.0833856270425333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8-40A3-879D-729A0BD6E4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3200">
          <a:solidFill>
            <a:schemeClr val="bg1"/>
          </a:solidFill>
          <a:latin typeface="FC Friday" panose="020B0500040200020003" pitchFamily="34" charset="-34"/>
          <a:cs typeface="FC Friday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3" Type="http://schemas.openxmlformats.org/officeDocument/2006/relationships/image" Target="../media/image5.png"/><Relationship Id="rId7" Type="http://schemas.openxmlformats.org/officeDocument/2006/relationships/image" Target="../media/image8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image" Target="../media/image6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608610</xdr:colOff>
      <xdr:row>11</xdr:row>
      <xdr:rowOff>288369</xdr:rowOff>
    </xdr:from>
    <xdr:to>
      <xdr:col>26</xdr:col>
      <xdr:colOff>472539</xdr:colOff>
      <xdr:row>24</xdr:row>
      <xdr:rowOff>242454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155862</xdr:colOff>
      <xdr:row>12</xdr:row>
      <xdr:rowOff>180604</xdr:rowOff>
    </xdr:from>
    <xdr:to>
      <xdr:col>24</xdr:col>
      <xdr:colOff>604899</xdr:colOff>
      <xdr:row>14</xdr:row>
      <xdr:rowOff>94013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980469" y="4548497"/>
          <a:ext cx="8626930" cy="539337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000" b="1">
              <a:latin typeface="TH Niramit AS" panose="02000506000000020004" pitchFamily="2" charset="-34"/>
              <a:cs typeface="TH Niramit AS" panose="02000506000000020004" pitchFamily="2" charset="-34"/>
            </a:rPr>
            <a:t>ปริมาณการปล่อยก๊าซเรือนกระจำประจำปี</a:t>
          </a:r>
          <a:r>
            <a:rPr lang="th-TH" sz="2000" b="1" baseline="0">
              <a:latin typeface="TH Niramit AS" panose="02000506000000020004" pitchFamily="2" charset="-34"/>
              <a:cs typeface="TH Niramit AS" panose="02000506000000020004" pitchFamily="2" charset="-34"/>
            </a:rPr>
            <a:t> 2564 (</a:t>
          </a:r>
          <a:r>
            <a:rPr lang="en-US" sz="2000" b="1" baseline="0">
              <a:latin typeface="TH Niramit AS" panose="02000506000000020004" pitchFamily="2" charset="-34"/>
              <a:cs typeface="TH Niramit AS" panose="02000506000000020004" pitchFamily="2" charset="-34"/>
            </a:rPr>
            <a:t>tCO</a:t>
          </a:r>
          <a:r>
            <a:rPr lang="en-US" sz="2000" b="1" baseline="-25000">
              <a:latin typeface="TH Niramit AS" panose="02000506000000020004" pitchFamily="2" charset="-34"/>
              <a:cs typeface="TH Niramit AS" panose="02000506000000020004" pitchFamily="2" charset="-34"/>
            </a:rPr>
            <a:t>2</a:t>
          </a:r>
          <a:r>
            <a:rPr lang="en-US" sz="2000" b="1" baseline="0">
              <a:latin typeface="TH Niramit AS" panose="02000506000000020004" pitchFamily="2" charset="-34"/>
              <a:cs typeface="TH Niramit AS" panose="02000506000000020004" pitchFamily="2" charset="-34"/>
            </a:rPr>
            <a:t>)</a:t>
          </a:r>
          <a:endParaRPr lang="th-TH" sz="2000" b="1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  <xdr:twoCellAnchor>
    <xdr:from>
      <xdr:col>7</xdr:col>
      <xdr:colOff>583870</xdr:colOff>
      <xdr:row>24</xdr:row>
      <xdr:rowOff>252352</xdr:rowOff>
    </xdr:from>
    <xdr:to>
      <xdr:col>26</xdr:col>
      <xdr:colOff>434191</xdr:colOff>
      <xdr:row>46</xdr:row>
      <xdr:rowOff>199159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538099</xdr:colOff>
      <xdr:row>29</xdr:row>
      <xdr:rowOff>300595</xdr:rowOff>
    </xdr:from>
    <xdr:to>
      <xdr:col>25</xdr:col>
      <xdr:colOff>388420</xdr:colOff>
      <xdr:row>33</xdr:row>
      <xdr:rowOff>259774</xdr:rowOff>
    </xdr:to>
    <xdr:pic>
      <xdr:nvPicPr>
        <xdr:cNvPr id="4" name="กราฟิก 3" descr="น้ำมันเชื้อเพลิง ด้วยสีเติมแบบทึบ">
          <a:extLst>
            <a:ext uri="{FF2B5EF4-FFF2-40B4-BE49-F238E27FC236}">
              <a16:creationId xmlns:a16="http://schemas.microsoft.com/office/drawing/2014/main" id="{F9DEE14F-5ABD-4F63-A9C8-997C1B7B0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9710563" y="9988881"/>
          <a:ext cx="1211036" cy="1211036"/>
        </a:xfrm>
        <a:prstGeom prst="rect">
          <a:avLst/>
        </a:prstGeom>
      </xdr:spPr>
    </xdr:pic>
    <xdr:clientData/>
  </xdr:twoCellAnchor>
  <xdr:twoCellAnchor editAs="oneCell">
    <xdr:from>
      <xdr:col>23</xdr:col>
      <xdr:colOff>327807</xdr:colOff>
      <xdr:row>32</xdr:row>
      <xdr:rowOff>311728</xdr:rowOff>
    </xdr:from>
    <xdr:to>
      <xdr:col>25</xdr:col>
      <xdr:colOff>240484</xdr:colOff>
      <xdr:row>37</xdr:row>
      <xdr:rowOff>6479</xdr:rowOff>
    </xdr:to>
    <xdr:pic>
      <xdr:nvPicPr>
        <xdr:cNvPr id="12" name="รูปภาพ 11" descr="ถังบำบัดน้ำเสีย CSR - JRM">
          <a:extLst>
            <a:ext uri="{FF2B5EF4-FFF2-40B4-BE49-F238E27FC236}">
              <a16:creationId xmlns:a16="http://schemas.microsoft.com/office/drawing/2014/main" id="{60808BE1-56B3-44C2-806A-4D006F38F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00271" y="10938907"/>
          <a:ext cx="1273392" cy="1259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703861</xdr:colOff>
      <xdr:row>37</xdr:row>
      <xdr:rowOff>145966</xdr:rowOff>
    </xdr:from>
    <xdr:to>
      <xdr:col>12</xdr:col>
      <xdr:colOff>226373</xdr:colOff>
      <xdr:row>40</xdr:row>
      <xdr:rowOff>227607</xdr:rowOff>
    </xdr:to>
    <xdr:pic>
      <xdr:nvPicPr>
        <xdr:cNvPr id="6" name="กราฟิก 5" descr="หลอดไฟและเกียร์ ด้วยสีเติมแบบทึบ">
          <a:extLst>
            <a:ext uri="{FF2B5EF4-FFF2-40B4-BE49-F238E27FC236}">
              <a16:creationId xmlns:a16="http://schemas.microsoft.com/office/drawing/2014/main" id="{631CBB44-26EC-4456-B8D3-E1C9C3CDB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841182" y="12337966"/>
          <a:ext cx="1046512" cy="102053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0.16105</cdr:x>
      <cdr:y>0.22185</cdr:y>
    </cdr:from>
    <cdr:to>
      <cdr:x>0.21275</cdr:x>
      <cdr:y>0.31802</cdr:y>
    </cdr:to>
    <cdr:pic>
      <cdr:nvPicPr>
        <cdr:cNvPr id="13" name="กราฟิก 12" descr="ก๊อกน้ำรั่ว ด้วยสีเติมแบบทึบ">
          <a:extLst xmlns:a="http://schemas.openxmlformats.org/drawingml/2006/main">
            <a:ext uri="{FF2B5EF4-FFF2-40B4-BE49-F238E27FC236}">
              <a16:creationId xmlns:a16="http://schemas.microsoft.com/office/drawing/2014/main" id="{6F2E403F-69FD-4B1A-B720-8F3A56F5615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090058" y="1509645"/>
          <a:ext cx="670937" cy="65441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0.15729</cdr:x>
      <cdr:y>0.11912</cdr:y>
    </cdr:from>
    <cdr:to>
      <cdr:x>0.20591</cdr:x>
      <cdr:y>0.20959</cdr:y>
    </cdr:to>
    <cdr:pic>
      <cdr:nvPicPr>
        <cdr:cNvPr id="15" name="กราฟิก 14" descr="เอกสาร ด้วยสีเติมแบบทึบ">
          <a:extLst xmlns:a="http://schemas.openxmlformats.org/drawingml/2006/main">
            <a:ext uri="{FF2B5EF4-FFF2-40B4-BE49-F238E27FC236}">
              <a16:creationId xmlns:a16="http://schemas.microsoft.com/office/drawing/2014/main" id="{4367B2E2-AB11-459E-BFEE-F6E8C74FD4D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041173" y="810557"/>
          <a:ext cx="630967" cy="61563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2717346</xdr:colOff>
      <xdr:row>10</xdr:row>
      <xdr:rowOff>273846</xdr:rowOff>
    </xdr:from>
    <xdr:to>
      <xdr:col>7</xdr:col>
      <xdr:colOff>666749</xdr:colOff>
      <xdr:row>14</xdr:row>
      <xdr:rowOff>4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2717346" y="4505667"/>
          <a:ext cx="5855153" cy="2297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326571</xdr:colOff>
      <xdr:row>14</xdr:row>
      <xdr:rowOff>196180</xdr:rowOff>
    </xdr:from>
    <xdr:to>
      <xdr:col>7</xdr:col>
      <xdr:colOff>557893</xdr:colOff>
      <xdr:row>20</xdr:row>
      <xdr:rowOff>54428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61607" y="6999751"/>
          <a:ext cx="5402036" cy="1736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2729592</xdr:colOff>
      <xdr:row>5</xdr:row>
      <xdr:rowOff>200707</xdr:rowOff>
    </xdr:from>
    <xdr:to>
      <xdr:col>7</xdr:col>
      <xdr:colOff>680356</xdr:colOff>
      <xdr:row>11</xdr:row>
      <xdr:rowOff>132748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2729592" y="1928814"/>
          <a:ext cx="5856514" cy="274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81993</xdr:colOff>
      <xdr:row>6</xdr:row>
      <xdr:rowOff>180296</xdr:rowOff>
    </xdr:from>
    <xdr:to>
      <xdr:col>15</xdr:col>
      <xdr:colOff>108857</xdr:colOff>
      <xdr:row>20</xdr:row>
      <xdr:rowOff>136074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695314" y="2221367"/>
          <a:ext cx="4979864" cy="659606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nopparat_ka_up_ac_th/Documents/&#3619;&#3629;&#3591;&#3588;&#3603;&#3610;&#3604;&#3637;&#3613;&#3656;&#3634;&#3618;&#3610;&#3619;&#3636;&#3627;&#3634;&#3619;/02-&#3618;&#3640;&#3607;&#3608;&#3624;&#3634;&#3626;&#3605;&#3619;&#3660;&#3588;&#3603;&#3632;&#3631;/06-&#3585;&#3636;&#3592;&#3585;&#3619;&#3619;&#3617;/02-5&#3626;%20&#3649;&#3621;&#3632;%20Green%20office/05-&#3585;&#3634;&#3619;&#3604;&#3635;&#3648;&#3609;&#3636;&#3609;&#3591;&#3634;&#3609;/07-&#3619;&#3623;&#3617;&#3627;&#3621;&#3633;&#3585;&#3600;&#3634;&#3609;/&#3592;&#3633;&#3604;&#3607;&#3635;&#3586;&#3657;&#3629;&#3617;&#3641;&#3621;/&#3627;&#3617;&#3623;&#3604;%203/&#3627;&#3617;&#3623;&#3604;%20%20&#3586;&#3657;&#3629;%203.1%20&#3607;&#3638;&#3585;&#3585;&#3634;&#3619;&#3651;&#3594;&#3657;&#3609;&#3657;&#3635;.xls?D5185E3D" TargetMode="External"/><Relationship Id="rId1" Type="http://schemas.openxmlformats.org/officeDocument/2006/relationships/externalLinkPath" Target="file:///\\D5185E3D\&#3627;&#3617;&#3623;&#3604;%20%20&#3586;&#3657;&#3629;%203.1%20&#3607;&#3638;&#3585;&#3585;&#3634;&#3619;&#3651;&#3594;&#3657;&#3609;&#3657;&#36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"/>
      <sheetName val="64"/>
      <sheetName val="เทียบ 64 กับ 63"/>
      <sheetName val="ประเมินการใช้น้ำย้อนหลัง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0737-ACEE-4962-B058-2C3D4C87BF61}">
  <dimension ref="B3:L23"/>
  <sheetViews>
    <sheetView topLeftCell="B1" zoomScaleNormal="100" workbookViewId="0">
      <selection activeCell="G5" sqref="G5:H10"/>
    </sheetView>
  </sheetViews>
  <sheetFormatPr defaultRowHeight="14.25" x14ac:dyDescent="0.2"/>
  <cols>
    <col min="2" max="2" width="12.25" customWidth="1"/>
    <col min="3" max="6" width="21.875" customWidth="1"/>
    <col min="7" max="7" width="12.125" customWidth="1"/>
    <col min="8" max="8" width="120.375" bestFit="1" customWidth="1"/>
    <col min="10" max="10" width="12.375" bestFit="1" customWidth="1"/>
  </cols>
  <sheetData>
    <row r="3" spans="2:12" ht="48" customHeight="1" x14ac:dyDescent="0.2">
      <c r="B3" s="99" t="s">
        <v>90</v>
      </c>
      <c r="C3" s="101" t="s">
        <v>105</v>
      </c>
      <c r="D3" s="102"/>
      <c r="E3" s="101" t="s">
        <v>106</v>
      </c>
      <c r="F3" s="102"/>
      <c r="G3" s="99" t="s">
        <v>113</v>
      </c>
      <c r="H3" s="99" t="s">
        <v>112</v>
      </c>
      <c r="K3" s="101" t="s">
        <v>107</v>
      </c>
      <c r="L3" s="102"/>
    </row>
    <row r="4" spans="2:12" ht="24" x14ac:dyDescent="0.2">
      <c r="B4" s="100"/>
      <c r="C4" s="83">
        <v>2563</v>
      </c>
      <c r="D4" s="83">
        <v>2564</v>
      </c>
      <c r="E4" s="83">
        <v>2563</v>
      </c>
      <c r="F4" s="83">
        <v>2564</v>
      </c>
      <c r="G4" s="100"/>
      <c r="H4" s="100"/>
      <c r="K4" s="83">
        <v>2563</v>
      </c>
      <c r="L4" s="83">
        <v>2564</v>
      </c>
    </row>
    <row r="5" spans="2:12" ht="24" x14ac:dyDescent="0.55000000000000004">
      <c r="B5" s="84" t="s">
        <v>91</v>
      </c>
      <c r="C5" s="90">
        <v>1009.8576452138266</v>
      </c>
      <c r="D5" s="90">
        <v>986.74558000000002</v>
      </c>
      <c r="E5" s="90">
        <f>+C5/K5</f>
        <v>53.150402379675086</v>
      </c>
      <c r="F5" s="90">
        <f>+D5/L5</f>
        <v>41.114399166666665</v>
      </c>
      <c r="G5" s="98">
        <f>1-D5/C5</f>
        <v>2.2886458624505224E-2</v>
      </c>
      <c r="H5" s="90" t="s">
        <v>116</v>
      </c>
      <c r="K5" s="89">
        <v>19</v>
      </c>
      <c r="L5" s="89">
        <v>24</v>
      </c>
    </row>
    <row r="6" spans="2:12" ht="24" x14ac:dyDescent="0.55000000000000004">
      <c r="B6" s="84" t="s">
        <v>92</v>
      </c>
      <c r="C6" s="90">
        <v>1568.8452787803285</v>
      </c>
      <c r="D6" s="90">
        <v>1004.195768</v>
      </c>
      <c r="E6" s="90">
        <f t="shared" ref="E6:E9" si="0">+C6/K6</f>
        <v>82.570804146333074</v>
      </c>
      <c r="F6" s="90">
        <f t="shared" ref="F6:F10" si="1">+D6/L6</f>
        <v>41.841490333333333</v>
      </c>
      <c r="G6" s="98">
        <f t="shared" ref="G6:G10" si="2">1-D6/C6</f>
        <v>0.35991408357317778</v>
      </c>
      <c r="H6" s="90" t="s">
        <v>114</v>
      </c>
      <c r="K6" s="89">
        <v>19</v>
      </c>
      <c r="L6" s="89">
        <v>24</v>
      </c>
    </row>
    <row r="7" spans="2:12" ht="24" x14ac:dyDescent="0.55000000000000004">
      <c r="B7" s="84" t="s">
        <v>93</v>
      </c>
      <c r="C7" s="90">
        <v>2083.5845010804342</v>
      </c>
      <c r="D7" s="90">
        <v>1959.1301240000003</v>
      </c>
      <c r="E7" s="90">
        <f t="shared" si="0"/>
        <v>109.66234216212811</v>
      </c>
      <c r="F7" s="90">
        <f t="shared" si="1"/>
        <v>81.630421833333344</v>
      </c>
      <c r="G7" s="98">
        <f t="shared" si="2"/>
        <v>5.973089981035018E-2</v>
      </c>
      <c r="H7" s="90" t="s">
        <v>117</v>
      </c>
      <c r="K7" s="89">
        <v>19</v>
      </c>
      <c r="L7" s="89">
        <v>24</v>
      </c>
    </row>
    <row r="8" spans="2:12" ht="24" x14ac:dyDescent="0.55000000000000004">
      <c r="B8" s="84" t="s">
        <v>94</v>
      </c>
      <c r="C8" s="90">
        <v>2042.0379812788667</v>
      </c>
      <c r="D8" s="90">
        <v>1528.612564</v>
      </c>
      <c r="E8" s="90">
        <f t="shared" si="0"/>
        <v>107.47568322520351</v>
      </c>
      <c r="F8" s="90">
        <f t="shared" si="1"/>
        <v>61.144502559999999</v>
      </c>
      <c r="G8" s="98">
        <f t="shared" si="2"/>
        <v>0.25142794697546411</v>
      </c>
      <c r="H8" s="90" t="s">
        <v>115</v>
      </c>
      <c r="K8" s="89">
        <v>19</v>
      </c>
      <c r="L8" s="89">
        <v>25</v>
      </c>
    </row>
    <row r="9" spans="2:12" ht="24" x14ac:dyDescent="0.55000000000000004">
      <c r="B9" s="84" t="s">
        <v>95</v>
      </c>
      <c r="C9" s="90">
        <v>1999.1271468089851</v>
      </c>
      <c r="D9" s="90">
        <v>2067.1965150000001</v>
      </c>
      <c r="E9" s="90">
        <f t="shared" si="0"/>
        <v>105.21721825310448</v>
      </c>
      <c r="F9" s="90">
        <f t="shared" si="1"/>
        <v>82.687860600000008</v>
      </c>
      <c r="G9" s="98">
        <f t="shared" si="2"/>
        <v>-3.404954422217088E-2</v>
      </c>
      <c r="H9" s="90" t="s">
        <v>118</v>
      </c>
      <c r="K9" s="89">
        <v>19</v>
      </c>
      <c r="L9" s="89">
        <v>25</v>
      </c>
    </row>
    <row r="10" spans="2:12" ht="24" x14ac:dyDescent="0.55000000000000004">
      <c r="B10" s="84" t="s">
        <v>96</v>
      </c>
      <c r="C10" s="90">
        <v>2174.5304246577848</v>
      </c>
      <c r="D10" s="90">
        <f>+SUM(สรุปการคำนวณ!Q7:Q11)</f>
        <v>1920.5257829999998</v>
      </c>
      <c r="E10" s="90">
        <f>+C10/K10</f>
        <v>114.44896971883078</v>
      </c>
      <c r="F10" s="90">
        <f t="shared" si="1"/>
        <v>76.821031319999989</v>
      </c>
      <c r="G10" s="98">
        <f t="shared" si="2"/>
        <v>0.11680896196141233</v>
      </c>
      <c r="H10" s="90" t="s">
        <v>115</v>
      </c>
      <c r="K10" s="89">
        <v>19</v>
      </c>
      <c r="L10" s="89">
        <v>25</v>
      </c>
    </row>
    <row r="11" spans="2:12" ht="24" x14ac:dyDescent="0.55000000000000004">
      <c r="B11" s="84" t="s">
        <v>97</v>
      </c>
      <c r="C11" s="90">
        <v>2021.3416766486266</v>
      </c>
      <c r="D11" s="90"/>
      <c r="E11" s="90">
        <f>+'[1]63'!G10</f>
        <v>0</v>
      </c>
      <c r="F11" s="90"/>
      <c r="G11" s="90"/>
      <c r="H11" s="95"/>
      <c r="K11" s="89">
        <v>19</v>
      </c>
      <c r="L11" s="89"/>
    </row>
    <row r="12" spans="2:12" ht="24" x14ac:dyDescent="0.55000000000000004">
      <c r="B12" s="84" t="s">
        <v>98</v>
      </c>
      <c r="C12" s="90">
        <v>1432.4525564439336</v>
      </c>
      <c r="D12" s="90"/>
      <c r="E12" s="90">
        <f>+'[1]63'!G11</f>
        <v>0</v>
      </c>
      <c r="F12" s="90"/>
      <c r="G12" s="90"/>
      <c r="H12" s="95"/>
      <c r="K12" s="89">
        <v>19</v>
      </c>
      <c r="L12" s="89"/>
    </row>
    <row r="13" spans="2:12" ht="24" x14ac:dyDescent="0.55000000000000004">
      <c r="B13" s="84" t="s">
        <v>99</v>
      </c>
      <c r="C13" s="90">
        <v>1531.3885788800001</v>
      </c>
      <c r="D13" s="90"/>
      <c r="E13" s="90">
        <f>+'[1]63'!G12</f>
        <v>0</v>
      </c>
      <c r="F13" s="90"/>
      <c r="G13" s="90"/>
      <c r="H13" s="95"/>
      <c r="K13" s="89">
        <v>19</v>
      </c>
      <c r="L13" s="89"/>
    </row>
    <row r="14" spans="2:12" ht="24" x14ac:dyDescent="0.55000000000000004">
      <c r="B14" s="84" t="s">
        <v>100</v>
      </c>
      <c r="C14" s="90">
        <v>1570.0927638800001</v>
      </c>
      <c r="D14" s="90"/>
      <c r="E14" s="90">
        <f>+'[1]63'!G13</f>
        <v>0</v>
      </c>
      <c r="F14" s="90"/>
      <c r="G14" s="90"/>
      <c r="H14" s="95"/>
      <c r="K14" s="89">
        <v>19</v>
      </c>
      <c r="L14" s="89"/>
    </row>
    <row r="15" spans="2:12" ht="24" x14ac:dyDescent="0.55000000000000004">
      <c r="B15" s="84" t="s">
        <v>101</v>
      </c>
      <c r="C15" s="90">
        <v>1310.75680388</v>
      </c>
      <c r="D15" s="90"/>
      <c r="E15" s="90">
        <f>+'[1]63'!G14</f>
        <v>0</v>
      </c>
      <c r="F15" s="90"/>
      <c r="G15" s="90"/>
      <c r="H15" s="95"/>
      <c r="K15" s="89">
        <v>19</v>
      </c>
      <c r="L15" s="89"/>
    </row>
    <row r="16" spans="2:12" ht="24" x14ac:dyDescent="0.55000000000000004">
      <c r="B16" s="84" t="s">
        <v>102</v>
      </c>
      <c r="C16" s="90">
        <v>922.6</v>
      </c>
      <c r="D16" s="90"/>
      <c r="E16" s="90">
        <f>+'[1]63'!G15</f>
        <v>0</v>
      </c>
      <c r="F16" s="90"/>
      <c r="G16" s="90"/>
      <c r="H16" s="95"/>
      <c r="K16" s="89">
        <v>19</v>
      </c>
      <c r="L16" s="89"/>
    </row>
    <row r="17" spans="2:12" ht="24" x14ac:dyDescent="0.55000000000000004">
      <c r="B17" s="91" t="s">
        <v>19</v>
      </c>
      <c r="C17" s="92">
        <f>SUM(C5:C16)</f>
        <v>19666.615357552786</v>
      </c>
      <c r="D17" s="92">
        <f>SUM(D5:D16)</f>
        <v>9466.4063339999993</v>
      </c>
      <c r="E17" s="92">
        <f>SUM(E5:E16)</f>
        <v>572.52541988527503</v>
      </c>
      <c r="F17" s="92">
        <f>SUM(F5:F15)</f>
        <v>385.23970581333333</v>
      </c>
      <c r="G17" s="96"/>
      <c r="K17" s="89">
        <v>19</v>
      </c>
      <c r="L17" s="89"/>
    </row>
    <row r="18" spans="2:12" ht="24" x14ac:dyDescent="0.55000000000000004">
      <c r="B18" s="91" t="s">
        <v>103</v>
      </c>
      <c r="C18" s="92">
        <f>AVERAGE(C12:C16)</f>
        <v>1353.4581406167867</v>
      </c>
      <c r="D18" s="92">
        <f>AVERAGE(D5:D16)</f>
        <v>1577.734389</v>
      </c>
      <c r="E18" s="92">
        <f>AVERAGE(E5:E16)</f>
        <v>47.710451657106255</v>
      </c>
      <c r="F18" s="92">
        <f>AVERAGE(F5:F16)</f>
        <v>64.20661763555556</v>
      </c>
      <c r="G18" s="96"/>
    </row>
    <row r="19" spans="2:12" ht="24" x14ac:dyDescent="0.55000000000000004">
      <c r="B19" s="85"/>
      <c r="C19" s="86" t="s">
        <v>108</v>
      </c>
      <c r="D19" s="87">
        <f>SUM(D5:D10)/SUM(C5:C10)-1</f>
        <v>-0.12976455715166824</v>
      </c>
      <c r="E19" s="86" t="s">
        <v>104</v>
      </c>
      <c r="F19" s="87">
        <f>SUM(F5:F10)/SUM(E5:E10)-1</f>
        <v>-0.32712209373947232</v>
      </c>
      <c r="G19" s="97"/>
    </row>
    <row r="20" spans="2:12" ht="21.75" x14ac:dyDescent="0.5">
      <c r="B20" s="94" t="s">
        <v>111</v>
      </c>
    </row>
    <row r="21" spans="2:12" ht="21.75" x14ac:dyDescent="0.5">
      <c r="B21" s="94" t="s">
        <v>109</v>
      </c>
    </row>
    <row r="22" spans="2:12" ht="21.75" x14ac:dyDescent="0.5">
      <c r="B22" s="94" t="s">
        <v>110</v>
      </c>
    </row>
    <row r="23" spans="2:12" ht="21.75" x14ac:dyDescent="0.5">
      <c r="B23" s="93"/>
    </row>
  </sheetData>
  <mergeCells count="6">
    <mergeCell ref="B3:B4"/>
    <mergeCell ref="C3:D3"/>
    <mergeCell ref="E3:F3"/>
    <mergeCell ref="K3:L3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W35"/>
  <sheetViews>
    <sheetView view="pageBreakPreview" zoomScale="70" zoomScaleNormal="70" zoomScaleSheetLayoutView="70" workbookViewId="0">
      <selection activeCell="E36" sqref="E36"/>
    </sheetView>
  </sheetViews>
  <sheetFormatPr defaultColWidth="9" defaultRowHeight="24.95" customHeight="1" x14ac:dyDescent="0.2"/>
  <cols>
    <col min="1" max="1" width="12.125" style="5" customWidth="1"/>
    <col min="2" max="2" width="36" style="3" bestFit="1" customWidth="1"/>
    <col min="3" max="3" width="9.75" style="3" customWidth="1"/>
    <col min="4" max="4" width="19.625" style="3" bestFit="1" customWidth="1"/>
    <col min="5" max="5" width="10.75" style="3" customWidth="1"/>
    <col min="6" max="6" width="9.25" style="3" bestFit="1" customWidth="1"/>
    <col min="7" max="7" width="8.75" style="3" customWidth="1"/>
    <col min="8" max="8" width="9.25" style="3" customWidth="1"/>
    <col min="9" max="9" width="8" style="3" customWidth="1"/>
    <col min="10" max="10" width="9.25" style="7" bestFit="1" customWidth="1"/>
    <col min="11" max="11" width="10.625" style="3" customWidth="1"/>
    <col min="12" max="12" width="9.25" style="3" bestFit="1" customWidth="1"/>
    <col min="13" max="13" width="8.375" style="3" customWidth="1"/>
    <col min="14" max="14" width="9.25" style="3" bestFit="1" customWidth="1"/>
    <col min="15" max="15" width="9" style="3" customWidth="1"/>
    <col min="16" max="16" width="9.25" style="3" bestFit="1" customWidth="1"/>
    <col min="17" max="17" width="8.25" style="3" customWidth="1"/>
    <col min="18" max="18" width="9.25" style="3" bestFit="1" customWidth="1"/>
    <col min="19" max="19" width="8.125" style="3" bestFit="1" customWidth="1"/>
    <col min="20" max="20" width="9.25" style="3" bestFit="1" customWidth="1"/>
    <col min="21" max="21" width="8.75" style="3" bestFit="1" customWidth="1"/>
    <col min="22" max="22" width="9.25" style="3" bestFit="1" customWidth="1"/>
    <col min="23" max="23" width="9.625" style="3" bestFit="1" customWidth="1"/>
    <col min="24" max="24" width="9.375" style="3" bestFit="1" customWidth="1"/>
    <col min="25" max="25" width="8.375" style="3" bestFit="1" customWidth="1"/>
    <col min="26" max="26" width="9" style="3" bestFit="1" customWidth="1"/>
    <col min="27" max="27" width="9.75" style="3" bestFit="1" customWidth="1"/>
    <col min="28" max="28" width="9.25" style="3" bestFit="1" customWidth="1"/>
    <col min="29" max="29" width="8.25" style="3" customWidth="1"/>
    <col min="30" max="30" width="10.375" style="3" customWidth="1"/>
    <col min="31" max="31" width="9" style="3"/>
    <col min="32" max="32" width="9" style="3" customWidth="1"/>
    <col min="33" max="16384" width="9" style="3"/>
  </cols>
  <sheetData>
    <row r="2" spans="1:44" ht="24.95" customHeight="1" x14ac:dyDescent="0.2">
      <c r="A2" s="24"/>
      <c r="B2" s="25"/>
      <c r="C2" s="25"/>
      <c r="D2" s="25"/>
      <c r="E2" s="25"/>
      <c r="F2" s="25"/>
      <c r="G2" s="25"/>
      <c r="H2" s="25"/>
      <c r="I2" s="25"/>
      <c r="J2" s="26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 t="s">
        <v>0</v>
      </c>
      <c r="AD2" s="25"/>
      <c r="AE2" s="25"/>
    </row>
    <row r="3" spans="1:44" ht="30" customHeight="1" x14ac:dyDescent="0.2">
      <c r="A3" s="105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7"/>
    </row>
    <row r="4" spans="1:44" s="5" customFormat="1" ht="30" customHeight="1" x14ac:dyDescent="0.2">
      <c r="A4" s="108" t="s">
        <v>2</v>
      </c>
      <c r="B4" s="108" t="s">
        <v>3</v>
      </c>
      <c r="C4" s="108" t="s">
        <v>4</v>
      </c>
      <c r="D4" s="108" t="s">
        <v>5</v>
      </c>
      <c r="E4" s="108" t="s">
        <v>6</v>
      </c>
      <c r="F4" s="109" t="s">
        <v>88</v>
      </c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3" t="s">
        <v>5</v>
      </c>
    </row>
    <row r="5" spans="1:44" s="5" customFormat="1" ht="30" customHeight="1" x14ac:dyDescent="0.2">
      <c r="A5" s="108"/>
      <c r="B5" s="108"/>
      <c r="C5" s="108"/>
      <c r="D5" s="108"/>
      <c r="E5" s="108"/>
      <c r="F5" s="74" t="s">
        <v>7</v>
      </c>
      <c r="G5" s="74"/>
      <c r="H5" s="74" t="s">
        <v>8</v>
      </c>
      <c r="I5" s="74"/>
      <c r="J5" s="74" t="s">
        <v>9</v>
      </c>
      <c r="K5" s="74"/>
      <c r="L5" s="74" t="s">
        <v>10</v>
      </c>
      <c r="M5" s="74"/>
      <c r="N5" s="74" t="s">
        <v>11</v>
      </c>
      <c r="O5" s="74"/>
      <c r="P5" s="74" t="s">
        <v>12</v>
      </c>
      <c r="Q5" s="74"/>
      <c r="R5" s="111" t="s">
        <v>13</v>
      </c>
      <c r="S5" s="111"/>
      <c r="T5" s="111" t="s">
        <v>14</v>
      </c>
      <c r="U5" s="111"/>
      <c r="V5" s="111" t="s">
        <v>15</v>
      </c>
      <c r="W5" s="111"/>
      <c r="X5" s="111" t="s">
        <v>16</v>
      </c>
      <c r="Y5" s="111"/>
      <c r="Z5" s="111" t="s">
        <v>17</v>
      </c>
      <c r="AA5" s="111"/>
      <c r="AB5" s="111" t="s">
        <v>18</v>
      </c>
      <c r="AC5" s="111"/>
      <c r="AD5" s="105" t="s">
        <v>19</v>
      </c>
      <c r="AE5" s="114"/>
    </row>
    <row r="6" spans="1:44" s="5" customFormat="1" ht="30" customHeight="1" x14ac:dyDescent="0.2">
      <c r="A6" s="108"/>
      <c r="B6" s="108"/>
      <c r="C6" s="108"/>
      <c r="D6" s="108"/>
      <c r="E6" s="108"/>
      <c r="F6" s="75" t="s">
        <v>20</v>
      </c>
      <c r="G6" s="75" t="s">
        <v>21</v>
      </c>
      <c r="H6" s="75" t="s">
        <v>20</v>
      </c>
      <c r="I6" s="75" t="s">
        <v>21</v>
      </c>
      <c r="J6" s="75" t="s">
        <v>20</v>
      </c>
      <c r="K6" s="75" t="s">
        <v>21</v>
      </c>
      <c r="L6" s="75" t="s">
        <v>20</v>
      </c>
      <c r="M6" s="75" t="s">
        <v>21</v>
      </c>
      <c r="N6" s="75" t="s">
        <v>20</v>
      </c>
      <c r="O6" s="75" t="s">
        <v>21</v>
      </c>
      <c r="P6" s="75" t="s">
        <v>20</v>
      </c>
      <c r="Q6" s="75" t="s">
        <v>21</v>
      </c>
      <c r="R6" s="75" t="s">
        <v>20</v>
      </c>
      <c r="S6" s="75" t="s">
        <v>21</v>
      </c>
      <c r="T6" s="75" t="s">
        <v>20</v>
      </c>
      <c r="U6" s="75" t="s">
        <v>21</v>
      </c>
      <c r="V6" s="75" t="s">
        <v>20</v>
      </c>
      <c r="W6" s="75" t="s">
        <v>21</v>
      </c>
      <c r="X6" s="75" t="s">
        <v>20</v>
      </c>
      <c r="Y6" s="75" t="s">
        <v>21</v>
      </c>
      <c r="Z6" s="75" t="s">
        <v>20</v>
      </c>
      <c r="AA6" s="75" t="s">
        <v>21</v>
      </c>
      <c r="AB6" s="75" t="s">
        <v>20</v>
      </c>
      <c r="AC6" s="75" t="s">
        <v>21</v>
      </c>
      <c r="AD6" s="112"/>
      <c r="AE6" s="115"/>
    </row>
    <row r="7" spans="1:44" ht="30" customHeight="1" x14ac:dyDescent="0.2">
      <c r="A7" s="116" t="s">
        <v>22</v>
      </c>
      <c r="B7" s="27" t="s">
        <v>23</v>
      </c>
      <c r="C7" s="28">
        <v>2.7403</v>
      </c>
      <c r="D7" s="29" t="s">
        <v>24</v>
      </c>
      <c r="E7" s="29" t="s">
        <v>25</v>
      </c>
      <c r="F7" s="30">
        <v>141.1</v>
      </c>
      <c r="G7" s="31">
        <f t="shared" ref="G7:G11" si="0">F7*C7</f>
        <v>386.65632999999997</v>
      </c>
      <c r="H7" s="30">
        <v>54.56</v>
      </c>
      <c r="I7" s="31">
        <f>H7*C7</f>
        <v>149.51076800000001</v>
      </c>
      <c r="J7" s="30">
        <v>126.58</v>
      </c>
      <c r="K7" s="31">
        <f t="shared" ref="K7:K11" si="1">J7*C7</f>
        <v>346.86717399999998</v>
      </c>
      <c r="L7" s="30">
        <v>114.88</v>
      </c>
      <c r="M7" s="31">
        <f t="shared" ref="M7:M11" si="2">L7*C7</f>
        <v>314.80566399999998</v>
      </c>
      <c r="N7" s="30">
        <v>189.05</v>
      </c>
      <c r="O7" s="31">
        <f t="shared" ref="O7:O11" si="3">N7*C7</f>
        <v>518.05371500000001</v>
      </c>
      <c r="P7" s="30">
        <v>187.18</v>
      </c>
      <c r="Q7" s="31">
        <f t="shared" ref="Q7:Q11" si="4">P7*C7</f>
        <v>512.92935399999999</v>
      </c>
      <c r="R7" s="30"/>
      <c r="S7" s="31"/>
      <c r="T7" s="30"/>
      <c r="U7" s="30"/>
      <c r="V7" s="31"/>
      <c r="W7" s="30"/>
      <c r="X7" s="31"/>
      <c r="Y7" s="30"/>
      <c r="Z7" s="31"/>
      <c r="AA7" s="30"/>
      <c r="AB7" s="31"/>
      <c r="AC7" s="30"/>
      <c r="AD7" s="32">
        <f t="shared" ref="AD7:AD11" si="5">G7+I7+K7+M7+O7+Q7+S7+U7+W7+Y7+AA7+AC7</f>
        <v>2228.8230049999997</v>
      </c>
      <c r="AE7" s="29" t="s">
        <v>86</v>
      </c>
    </row>
    <row r="8" spans="1:44" ht="30" customHeight="1" x14ac:dyDescent="0.2">
      <c r="A8" s="117"/>
      <c r="B8" s="79" t="s">
        <v>27</v>
      </c>
      <c r="C8" s="76">
        <v>25</v>
      </c>
      <c r="D8" s="33" t="s">
        <v>28</v>
      </c>
      <c r="E8" s="33" t="s">
        <v>29</v>
      </c>
      <c r="F8" s="34">
        <f>+'CH4จากระบบ septic tank'!C4</f>
        <v>5.76</v>
      </c>
      <c r="G8" s="35">
        <f>F8*C8</f>
        <v>144</v>
      </c>
      <c r="H8" s="36">
        <f>+'CH4จากระบบ septic tank'!D4</f>
        <v>5.1840000000000002</v>
      </c>
      <c r="I8" s="35">
        <f t="shared" ref="I8:I11" si="6">H8*C8</f>
        <v>129.6</v>
      </c>
      <c r="J8" s="36">
        <f>+'CH4จากระบบ septic tank'!E4</f>
        <v>6.3360000000000003</v>
      </c>
      <c r="K8" s="35">
        <f t="shared" si="1"/>
        <v>158.4</v>
      </c>
      <c r="L8" s="36">
        <f>+'CH4จากระบบ septic tank'!F4</f>
        <v>5.1000000000000005</v>
      </c>
      <c r="M8" s="35">
        <f t="shared" si="2"/>
        <v>127.50000000000001</v>
      </c>
      <c r="N8" s="36">
        <f>+'CH4จากระบบ septic tank'!G4</f>
        <v>5.4</v>
      </c>
      <c r="O8" s="35">
        <f t="shared" si="3"/>
        <v>135</v>
      </c>
      <c r="P8" s="36">
        <f>+'CH4จากระบบ septic tank'!H4</f>
        <v>6.6000000000000005</v>
      </c>
      <c r="Q8" s="35">
        <f t="shared" si="4"/>
        <v>165</v>
      </c>
      <c r="R8" s="36"/>
      <c r="S8" s="35"/>
      <c r="T8" s="36"/>
      <c r="U8" s="35"/>
      <c r="V8" s="36"/>
      <c r="W8" s="35"/>
      <c r="X8" s="36"/>
      <c r="Y8" s="35"/>
      <c r="Z8" s="36"/>
      <c r="AA8" s="35"/>
      <c r="AB8" s="36"/>
      <c r="AC8" s="35"/>
      <c r="AD8" s="37">
        <f t="shared" si="5"/>
        <v>859.5</v>
      </c>
      <c r="AE8" s="29" t="s">
        <v>86</v>
      </c>
    </row>
    <row r="9" spans="1:44" s="22" customFormat="1" ht="30" customHeight="1" x14ac:dyDescent="0.2">
      <c r="A9" s="33" t="s">
        <v>30</v>
      </c>
      <c r="B9" s="38" t="s">
        <v>31</v>
      </c>
      <c r="C9" s="28">
        <v>0.49990000000000001</v>
      </c>
      <c r="D9" s="29" t="s">
        <v>32</v>
      </c>
      <c r="E9" s="29" t="s">
        <v>33</v>
      </c>
      <c r="F9" s="30">
        <v>688</v>
      </c>
      <c r="G9" s="31">
        <f>F9*C9</f>
        <v>343.93119999999999</v>
      </c>
      <c r="H9" s="30">
        <v>1228</v>
      </c>
      <c r="I9" s="31">
        <f>H9*C9</f>
        <v>613.87720000000002</v>
      </c>
      <c r="J9" s="30">
        <v>2540</v>
      </c>
      <c r="K9" s="31">
        <f t="shared" si="1"/>
        <v>1269.7460000000001</v>
      </c>
      <c r="L9" s="30">
        <v>1932</v>
      </c>
      <c r="M9" s="31">
        <f t="shared" si="2"/>
        <v>965.80680000000007</v>
      </c>
      <c r="N9" s="30">
        <v>2540</v>
      </c>
      <c r="O9" s="31">
        <f t="shared" si="3"/>
        <v>1269.7460000000001</v>
      </c>
      <c r="P9" s="30">
        <v>2300</v>
      </c>
      <c r="Q9" s="31">
        <f t="shared" si="4"/>
        <v>1149.77</v>
      </c>
      <c r="R9" s="30"/>
      <c r="S9" s="31"/>
      <c r="T9" s="30"/>
      <c r="U9" s="30"/>
      <c r="V9" s="31"/>
      <c r="W9" s="30"/>
      <c r="X9" s="31"/>
      <c r="Y9" s="30"/>
      <c r="Z9" s="31"/>
      <c r="AA9" s="30"/>
      <c r="AB9" s="31"/>
      <c r="AC9" s="30"/>
      <c r="AD9" s="32">
        <f t="shared" si="5"/>
        <v>5612.8772000000008</v>
      </c>
      <c r="AE9" s="29" t="s">
        <v>86</v>
      </c>
    </row>
    <row r="10" spans="1:44" s="15" customFormat="1" ht="30" customHeight="1" x14ac:dyDescent="0.2">
      <c r="A10" s="103" t="s">
        <v>34</v>
      </c>
      <c r="B10" s="38" t="s">
        <v>35</v>
      </c>
      <c r="C10" s="28">
        <v>2.0859000000000001</v>
      </c>
      <c r="D10" s="29" t="s">
        <v>36</v>
      </c>
      <c r="E10" s="29" t="s">
        <v>37</v>
      </c>
      <c r="F10" s="34">
        <v>47.5</v>
      </c>
      <c r="G10" s="35">
        <f>F10*C10</f>
        <v>99.080250000000007</v>
      </c>
      <c r="H10" s="36">
        <v>45</v>
      </c>
      <c r="I10" s="35">
        <f t="shared" ref="I10" si="7">H10*C10</f>
        <v>93.865499999999997</v>
      </c>
      <c r="J10" s="36">
        <v>77.5</v>
      </c>
      <c r="K10" s="35">
        <f t="shared" ref="K10" si="8">J10*C10</f>
        <v>161.65725</v>
      </c>
      <c r="L10" s="36">
        <v>50</v>
      </c>
      <c r="M10" s="35">
        <f t="shared" ref="M10" si="9">L10*C10</f>
        <v>104.295</v>
      </c>
      <c r="N10" s="36">
        <v>65</v>
      </c>
      <c r="O10" s="35">
        <f t="shared" ref="O10" si="10">N10*C10</f>
        <v>135.58350000000002</v>
      </c>
      <c r="P10" s="30">
        <v>40</v>
      </c>
      <c r="Q10" s="31">
        <f t="shared" si="4"/>
        <v>83.436000000000007</v>
      </c>
      <c r="R10" s="30"/>
      <c r="S10" s="31"/>
      <c r="T10" s="30"/>
      <c r="U10" s="30"/>
      <c r="V10" s="29"/>
      <c r="W10" s="30"/>
      <c r="X10" s="31"/>
      <c r="Y10" s="30"/>
      <c r="Z10" s="29"/>
      <c r="AA10" s="30"/>
      <c r="AB10" s="29"/>
      <c r="AC10" s="30"/>
      <c r="AD10" s="32">
        <f t="shared" si="5"/>
        <v>677.91750000000013</v>
      </c>
      <c r="AE10" s="29" t="s">
        <v>86</v>
      </c>
    </row>
    <row r="11" spans="1:44" s="23" customFormat="1" ht="30" customHeight="1" x14ac:dyDescent="0.2">
      <c r="A11" s="104"/>
      <c r="B11" s="38" t="s">
        <v>87</v>
      </c>
      <c r="C11" s="28">
        <v>0.2843</v>
      </c>
      <c r="D11" s="29" t="s">
        <v>38</v>
      </c>
      <c r="E11" s="29" t="s">
        <v>39</v>
      </c>
      <c r="F11" s="31">
        <v>46</v>
      </c>
      <c r="G11" s="30">
        <f t="shared" si="0"/>
        <v>13.0778</v>
      </c>
      <c r="H11" s="31">
        <v>61</v>
      </c>
      <c r="I11" s="30">
        <f t="shared" si="6"/>
        <v>17.342300000000002</v>
      </c>
      <c r="J11" s="31">
        <v>79</v>
      </c>
      <c r="K11" s="30">
        <f t="shared" si="1"/>
        <v>22.459699999999998</v>
      </c>
      <c r="L11" s="31">
        <v>57</v>
      </c>
      <c r="M11" s="30">
        <f t="shared" si="2"/>
        <v>16.205100000000002</v>
      </c>
      <c r="N11" s="31">
        <v>31</v>
      </c>
      <c r="O11" s="30">
        <f t="shared" si="3"/>
        <v>8.8132999999999999</v>
      </c>
      <c r="P11" s="29">
        <v>33.03</v>
      </c>
      <c r="Q11" s="30">
        <f t="shared" si="4"/>
        <v>9.390429000000001</v>
      </c>
      <c r="R11" s="29"/>
      <c r="S11" s="30"/>
      <c r="T11" s="31"/>
      <c r="U11" s="30"/>
      <c r="V11" s="29"/>
      <c r="W11" s="30"/>
      <c r="X11" s="31"/>
      <c r="Y11" s="30"/>
      <c r="Z11" s="29"/>
      <c r="AA11" s="30"/>
      <c r="AB11" s="29"/>
      <c r="AC11" s="30"/>
      <c r="AD11" s="32">
        <f t="shared" si="5"/>
        <v>87.288629</v>
      </c>
      <c r="AE11" s="29" t="s">
        <v>86</v>
      </c>
    </row>
    <row r="12" spans="1:44" s="23" customFormat="1" ht="24.95" customHeight="1" x14ac:dyDescent="0.2">
      <c r="G12" s="88"/>
      <c r="H12" s="88"/>
      <c r="I12" s="88"/>
      <c r="J12" s="88"/>
      <c r="K12" s="88"/>
      <c r="L12" s="88"/>
      <c r="M12" s="88"/>
      <c r="N12" s="88"/>
      <c r="O12" s="88"/>
      <c r="AC12" s="30" t="s">
        <v>19</v>
      </c>
      <c r="AD12" s="32">
        <f>SUM(AD7:AD11)</f>
        <v>9466.4063340000012</v>
      </c>
      <c r="AE12" s="29" t="s">
        <v>86</v>
      </c>
    </row>
    <row r="13" spans="1:44" s="15" customFormat="1" ht="24.95" customHeight="1" x14ac:dyDescent="0.2">
      <c r="A13" s="17"/>
      <c r="B13" s="18"/>
      <c r="C13" s="19"/>
      <c r="D13" s="20"/>
      <c r="E13" s="20"/>
      <c r="F13" s="20"/>
      <c r="G13" s="21"/>
      <c r="H13" s="20"/>
      <c r="I13" s="21"/>
      <c r="J13" s="20"/>
      <c r="K13" s="21"/>
      <c r="L13" s="20"/>
      <c r="M13" s="21"/>
      <c r="N13" s="20"/>
      <c r="O13" s="21"/>
      <c r="P13" s="20"/>
      <c r="Q13" s="21"/>
      <c r="R13" s="20"/>
      <c r="S13" s="21"/>
      <c r="T13" s="20"/>
      <c r="U13" s="21"/>
      <c r="V13" s="20"/>
      <c r="W13" s="21"/>
      <c r="X13" s="20"/>
      <c r="Y13" s="21"/>
      <c r="Z13" s="20"/>
      <c r="AA13" s="21"/>
      <c r="AB13" s="20"/>
      <c r="AC13" s="21"/>
      <c r="AD13" s="21"/>
      <c r="AE13" s="20"/>
      <c r="AR13" s="16"/>
    </row>
    <row r="14" spans="1:44" s="15" customFormat="1" ht="24.95" customHeight="1" x14ac:dyDescent="0.2">
      <c r="A14" s="17"/>
      <c r="B14" s="18"/>
      <c r="C14" s="19"/>
      <c r="D14" s="20"/>
      <c r="E14" s="20"/>
      <c r="F14" s="20"/>
      <c r="G14" s="21"/>
      <c r="H14" s="20"/>
      <c r="I14" s="21"/>
      <c r="J14" s="20"/>
      <c r="K14" s="21"/>
      <c r="L14" s="20"/>
      <c r="M14" s="21"/>
      <c r="N14" s="20"/>
      <c r="O14" s="21"/>
      <c r="P14" s="20"/>
      <c r="Q14" s="21"/>
      <c r="R14" s="20"/>
      <c r="S14" s="21"/>
      <c r="T14" s="20"/>
      <c r="U14" s="21"/>
      <c r="V14" s="20"/>
      <c r="W14" s="21"/>
      <c r="X14" s="20"/>
      <c r="Y14" s="21"/>
      <c r="Z14" s="20"/>
      <c r="AA14" s="21"/>
      <c r="AB14" s="20"/>
      <c r="AC14" s="21"/>
      <c r="AD14" s="21"/>
      <c r="AE14" s="20"/>
      <c r="AR14" s="16"/>
    </row>
    <row r="15" spans="1:44" ht="24.95" customHeight="1" x14ac:dyDescent="0.2">
      <c r="G15" s="9"/>
      <c r="AR15" s="8"/>
    </row>
    <row r="16" spans="1:44" ht="24.95" customHeight="1" x14ac:dyDescent="0.2">
      <c r="B16" s="118" t="s">
        <v>89</v>
      </c>
      <c r="C16" s="118"/>
      <c r="D16" s="118"/>
      <c r="E16" s="118"/>
      <c r="F16" s="25" t="s">
        <v>40</v>
      </c>
      <c r="K16" s="119"/>
      <c r="L16" s="119"/>
      <c r="M16" s="119"/>
      <c r="N16" s="119"/>
      <c r="O16" s="4"/>
      <c r="P16" s="119"/>
      <c r="Q16" s="119"/>
      <c r="R16" s="119"/>
      <c r="S16" s="119"/>
      <c r="AR16" s="8"/>
    </row>
    <row r="17" spans="1:49" ht="24.95" customHeight="1" x14ac:dyDescent="0.2">
      <c r="B17" s="75" t="s">
        <v>41</v>
      </c>
      <c r="C17" s="75" t="s">
        <v>42</v>
      </c>
      <c r="D17" s="75" t="s">
        <v>43</v>
      </c>
      <c r="E17" s="75" t="s">
        <v>5</v>
      </c>
      <c r="F17" s="25"/>
      <c r="K17" s="6"/>
      <c r="L17" s="6"/>
      <c r="M17" s="6"/>
      <c r="N17" s="6"/>
      <c r="O17" s="4"/>
      <c r="P17" s="6"/>
      <c r="Q17" s="6"/>
      <c r="R17" s="6"/>
      <c r="S17" s="6"/>
      <c r="AR17" s="8"/>
    </row>
    <row r="18" spans="1:49" ht="24.95" customHeight="1" x14ac:dyDescent="0.2">
      <c r="B18" s="39" t="s">
        <v>22</v>
      </c>
      <c r="C18" s="40">
        <f>(SUM(AD7:AD8))/1000</f>
        <v>3.0883230049999999</v>
      </c>
      <c r="D18" s="41">
        <f>(C18*100)/$C$21</f>
        <v>32.624027492965624</v>
      </c>
      <c r="E18" s="39" t="s">
        <v>26</v>
      </c>
      <c r="F18" s="25"/>
      <c r="K18" s="10"/>
      <c r="L18" s="11"/>
      <c r="M18" s="12"/>
      <c r="N18" s="10"/>
      <c r="O18" s="4"/>
      <c r="P18" s="10"/>
      <c r="Q18" s="11"/>
      <c r="R18" s="12"/>
      <c r="S18" s="10"/>
      <c r="AR18" s="4"/>
    </row>
    <row r="19" spans="1:49" ht="24.95" customHeight="1" x14ac:dyDescent="0.2">
      <c r="B19" s="39" t="s">
        <v>30</v>
      </c>
      <c r="C19" s="40">
        <f>$AD$9/1000</f>
        <v>5.6128772000000007</v>
      </c>
      <c r="D19" s="41">
        <f>(C19*100)/$C$21</f>
        <v>59.292586879991823</v>
      </c>
      <c r="E19" s="39" t="s">
        <v>26</v>
      </c>
      <c r="F19" s="25"/>
      <c r="K19" s="10"/>
      <c r="L19" s="11"/>
      <c r="M19" s="12"/>
      <c r="N19" s="10"/>
      <c r="O19" s="4"/>
      <c r="P19" s="10"/>
      <c r="Q19" s="11"/>
      <c r="R19" s="12"/>
      <c r="S19" s="10"/>
      <c r="AW19" s="7"/>
    </row>
    <row r="20" spans="1:49" ht="24.95" customHeight="1" x14ac:dyDescent="0.2">
      <c r="B20" s="39" t="s">
        <v>34</v>
      </c>
      <c r="C20" s="40">
        <f>SUM(AD10:AD11)/1000</f>
        <v>0.76520612900000018</v>
      </c>
      <c r="D20" s="41">
        <f>(C20*100)/$C$21</f>
        <v>8.0833856270425333</v>
      </c>
      <c r="E20" s="39" t="s">
        <v>26</v>
      </c>
      <c r="F20" s="25"/>
      <c r="K20" s="10"/>
      <c r="L20" s="11"/>
      <c r="M20" s="12"/>
      <c r="N20" s="10"/>
      <c r="O20" s="4"/>
      <c r="P20" s="10"/>
      <c r="Q20" s="11"/>
      <c r="R20" s="12"/>
      <c r="S20" s="10"/>
      <c r="AW20" s="7"/>
    </row>
    <row r="21" spans="1:49" ht="24.95" customHeight="1" x14ac:dyDescent="0.2">
      <c r="B21" s="80" t="s">
        <v>19</v>
      </c>
      <c r="C21" s="81">
        <f>SUM(C18:C20)</f>
        <v>9.466406334000002</v>
      </c>
      <c r="D21" s="82">
        <f>(C21*100)/$C$21</f>
        <v>100</v>
      </c>
      <c r="E21" s="80" t="s">
        <v>26</v>
      </c>
      <c r="F21" s="25"/>
      <c r="K21" s="10"/>
      <c r="L21" s="11"/>
      <c r="M21" s="12"/>
      <c r="N21" s="10"/>
      <c r="O21" s="4"/>
      <c r="P21" s="10"/>
      <c r="Q21" s="11"/>
      <c r="R21" s="12"/>
      <c r="S21" s="10"/>
      <c r="AW21" s="7"/>
    </row>
    <row r="22" spans="1:49" ht="24.95" customHeight="1" x14ac:dyDescent="0.2">
      <c r="B22" s="25"/>
      <c r="C22" s="25"/>
      <c r="D22" s="25"/>
      <c r="E22" s="25"/>
      <c r="F22" s="25"/>
      <c r="J22" s="3"/>
      <c r="AW22" s="7"/>
    </row>
    <row r="23" spans="1:49" ht="24.95" customHeight="1" x14ac:dyDescent="0.2">
      <c r="J23" s="3"/>
      <c r="AW23" s="7"/>
    </row>
    <row r="24" spans="1:49" ht="24.95" customHeight="1" x14ac:dyDescent="0.2">
      <c r="J24" s="3"/>
      <c r="AW24" s="7"/>
    </row>
    <row r="25" spans="1:49" ht="24.95" customHeight="1" x14ac:dyDescent="0.2">
      <c r="J25" s="3"/>
      <c r="AW25" s="7"/>
    </row>
    <row r="26" spans="1:49" ht="24.95" customHeight="1" x14ac:dyDescent="0.2">
      <c r="A26" s="13"/>
      <c r="B26" s="4"/>
      <c r="J26" s="3"/>
      <c r="AW26" s="7"/>
    </row>
    <row r="27" spans="1:49" ht="24.95" customHeight="1" x14ac:dyDescent="0.2">
      <c r="A27" s="14"/>
      <c r="B27" s="11"/>
      <c r="J27" s="3"/>
      <c r="AW27" s="7"/>
    </row>
    <row r="28" spans="1:49" ht="24.95" customHeight="1" x14ac:dyDescent="0.2">
      <c r="A28" s="14"/>
      <c r="B28" s="11"/>
      <c r="C28"/>
      <c r="J28" s="3"/>
      <c r="AW28" s="7"/>
    </row>
    <row r="29" spans="1:49" ht="24.95" customHeight="1" x14ac:dyDescent="0.2">
      <c r="A29" s="14"/>
      <c r="B29"/>
      <c r="J29" s="3"/>
      <c r="AW29" s="7"/>
    </row>
    <row r="30" spans="1:49" ht="24.95" customHeight="1" x14ac:dyDescent="0.2">
      <c r="A30" s="13"/>
      <c r="B30" s="4"/>
      <c r="D30"/>
      <c r="J30" s="3"/>
      <c r="AW30" s="7"/>
    </row>
    <row r="31" spans="1:49" ht="24.95" customHeight="1" x14ac:dyDescent="0.2">
      <c r="A31" s="13"/>
      <c r="B31" s="4"/>
      <c r="J31" s="3"/>
      <c r="AW31" s="7"/>
    </row>
    <row r="32" spans="1:49" ht="24.95" customHeight="1" x14ac:dyDescent="0.2">
      <c r="C32"/>
      <c r="J32" s="3"/>
      <c r="AW32" s="7"/>
    </row>
    <row r="33" spans="3:10" ht="24.95" customHeight="1" x14ac:dyDescent="0.2">
      <c r="C33"/>
      <c r="J33" s="3"/>
    </row>
    <row r="34" spans="3:10" ht="24.95" customHeight="1" x14ac:dyDescent="0.2">
      <c r="J34" s="3"/>
    </row>
    <row r="35" spans="3:10" ht="24.95" customHeight="1" x14ac:dyDescent="0.2">
      <c r="J35" s="3"/>
    </row>
  </sheetData>
  <mergeCells count="20">
    <mergeCell ref="B16:E16"/>
    <mergeCell ref="K16:N16"/>
    <mergeCell ref="P16:S16"/>
    <mergeCell ref="X5:Y5"/>
    <mergeCell ref="Z5:AA5"/>
    <mergeCell ref="A10:A11"/>
    <mergeCell ref="A3:AE3"/>
    <mergeCell ref="A4:A6"/>
    <mergeCell ref="B4:B6"/>
    <mergeCell ref="C4:C6"/>
    <mergeCell ref="D4:D6"/>
    <mergeCell ref="E4:E6"/>
    <mergeCell ref="F4:AD4"/>
    <mergeCell ref="T5:U5"/>
    <mergeCell ref="V5:W5"/>
    <mergeCell ref="AD5:AD6"/>
    <mergeCell ref="R5:S5"/>
    <mergeCell ref="AE4:AE6"/>
    <mergeCell ref="AB5:AC5"/>
    <mergeCell ref="A7:A8"/>
  </mergeCells>
  <pageMargins left="0.25" right="0.25" top="0.75" bottom="0.75" header="0.3" footer="0.3"/>
  <pageSetup paperSize="9"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29"/>
  <sheetViews>
    <sheetView tabSelected="1" view="pageBreakPreview" zoomScale="70" zoomScaleNormal="115" zoomScaleSheetLayoutView="70" workbookViewId="0">
      <selection activeCell="H4" sqref="H4"/>
    </sheetView>
  </sheetViews>
  <sheetFormatPr defaultColWidth="25.375" defaultRowHeight="24" x14ac:dyDescent="0.55000000000000004"/>
  <cols>
    <col min="1" max="1" width="41" style="1" customWidth="1"/>
    <col min="2" max="2" width="24.375" style="1" customWidth="1"/>
    <col min="3" max="15" width="10.625" style="1" customWidth="1"/>
    <col min="16" max="16" width="3.125" style="1" customWidth="1"/>
    <col min="17" max="17" width="13" style="1" customWidth="1"/>
    <col min="18" max="16384" width="25.375" style="1"/>
  </cols>
  <sheetData>
    <row r="1" spans="1:18" s="42" customFormat="1" ht="31.5" x14ac:dyDescent="0.75">
      <c r="A1" s="55" t="s">
        <v>44</v>
      </c>
      <c r="B1" s="56" t="s">
        <v>45</v>
      </c>
      <c r="C1" s="56" t="s">
        <v>46</v>
      </c>
      <c r="D1" s="56" t="s">
        <v>47</v>
      </c>
      <c r="E1" s="56" t="s">
        <v>48</v>
      </c>
      <c r="F1" s="56" t="s">
        <v>49</v>
      </c>
      <c r="G1" s="56" t="s">
        <v>50</v>
      </c>
      <c r="H1" s="56" t="s">
        <v>51</v>
      </c>
      <c r="I1" s="56" t="s">
        <v>52</v>
      </c>
      <c r="J1" s="56" t="s">
        <v>53</v>
      </c>
      <c r="K1" s="56" t="s">
        <v>54</v>
      </c>
      <c r="L1" s="56" t="s">
        <v>55</v>
      </c>
      <c r="M1" s="56" t="s">
        <v>56</v>
      </c>
      <c r="N1" s="56" t="s">
        <v>57</v>
      </c>
      <c r="O1" s="56" t="s">
        <v>58</v>
      </c>
      <c r="Q1" s="57" t="s">
        <v>59</v>
      </c>
    </row>
    <row r="2" spans="1:18" s="42" customFormat="1" ht="31.5" x14ac:dyDescent="0.75">
      <c r="B2" s="58" t="s">
        <v>60</v>
      </c>
      <c r="C2" s="59">
        <v>20</v>
      </c>
      <c r="D2" s="59">
        <v>18</v>
      </c>
      <c r="E2" s="59">
        <v>22</v>
      </c>
      <c r="F2" s="59">
        <v>17</v>
      </c>
      <c r="G2" s="59">
        <f>31-13</f>
        <v>18</v>
      </c>
      <c r="H2" s="59">
        <v>22</v>
      </c>
      <c r="I2" s="59"/>
      <c r="J2" s="59"/>
      <c r="K2" s="59"/>
      <c r="L2" s="59"/>
      <c r="M2" s="59"/>
      <c r="N2" s="59"/>
      <c r="O2" s="60">
        <f>SUM(C2:N2)</f>
        <v>117</v>
      </c>
      <c r="Q2" s="61">
        <f>D23*E23*F23*H23*I23</f>
        <v>1.2E-2</v>
      </c>
      <c r="R2" s="42" t="s">
        <v>61</v>
      </c>
    </row>
    <row r="3" spans="1:18" s="42" customFormat="1" ht="24.75" x14ac:dyDescent="0.6">
      <c r="B3" s="58" t="s">
        <v>62</v>
      </c>
      <c r="C3" s="59">
        <v>24</v>
      </c>
      <c r="D3" s="59">
        <v>24</v>
      </c>
      <c r="E3" s="59">
        <v>24</v>
      </c>
      <c r="F3" s="59">
        <v>25</v>
      </c>
      <c r="G3" s="59">
        <v>25</v>
      </c>
      <c r="H3" s="59">
        <v>25</v>
      </c>
      <c r="I3" s="59">
        <v>19</v>
      </c>
      <c r="J3" s="59">
        <v>19</v>
      </c>
      <c r="K3" s="59">
        <v>19</v>
      </c>
      <c r="L3" s="59">
        <v>19</v>
      </c>
      <c r="M3" s="59">
        <v>19</v>
      </c>
      <c r="N3" s="59">
        <v>19</v>
      </c>
      <c r="O3" s="60">
        <f>SUM(C3:N3)</f>
        <v>261</v>
      </c>
      <c r="P3" s="57"/>
    </row>
    <row r="4" spans="1:18" s="42" customFormat="1" ht="24.75" x14ac:dyDescent="0.6">
      <c r="B4" s="62" t="s">
        <v>63</v>
      </c>
      <c r="C4" s="78">
        <f t="shared" ref="C4:N4" si="0">C2*C3*$Q$2</f>
        <v>5.76</v>
      </c>
      <c r="D4" s="78">
        <f t="shared" si="0"/>
        <v>5.1840000000000002</v>
      </c>
      <c r="E4" s="78">
        <f t="shared" si="0"/>
        <v>6.3360000000000003</v>
      </c>
      <c r="F4" s="78">
        <f t="shared" si="0"/>
        <v>5.1000000000000005</v>
      </c>
      <c r="G4" s="78">
        <f t="shared" si="0"/>
        <v>5.4</v>
      </c>
      <c r="H4" s="78">
        <f t="shared" si="0"/>
        <v>6.6000000000000005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60">
        <f>SUM(C4:N4)</f>
        <v>34.380000000000003</v>
      </c>
    </row>
    <row r="5" spans="1:18" s="42" customFormat="1" ht="24.75" x14ac:dyDescent="0.6">
      <c r="B5" s="63" t="s">
        <v>64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63"/>
    </row>
    <row r="6" spans="1:18" s="42" customFormat="1" ht="24.75" x14ac:dyDescent="0.6"/>
    <row r="7" spans="1:18" s="42" customFormat="1" ht="24.75" x14ac:dyDescent="0.6"/>
    <row r="8" spans="1:18" s="42" customFormat="1" ht="24.75" x14ac:dyDescent="0.6"/>
    <row r="9" spans="1:18" s="42" customFormat="1" ht="24.75" x14ac:dyDescent="0.6">
      <c r="A9" s="64" t="s">
        <v>65</v>
      </c>
    </row>
    <row r="10" spans="1:18" s="42" customFormat="1" ht="99" x14ac:dyDescent="0.6">
      <c r="A10" s="65" t="s">
        <v>66</v>
      </c>
    </row>
    <row r="11" spans="1:18" s="42" customFormat="1" ht="24.75" x14ac:dyDescent="0.6"/>
    <row r="12" spans="1:18" s="42" customFormat="1" ht="74.25" x14ac:dyDescent="0.6">
      <c r="A12" s="65" t="s">
        <v>67</v>
      </c>
    </row>
    <row r="13" spans="1:18" s="42" customFormat="1" ht="24.75" x14ac:dyDescent="0.6"/>
    <row r="14" spans="1:18" s="42" customFormat="1" ht="54.75" customHeight="1" x14ac:dyDescent="0.6">
      <c r="A14" s="65" t="s">
        <v>68</v>
      </c>
    </row>
    <row r="15" spans="1:18" s="42" customFormat="1" ht="24.75" x14ac:dyDescent="0.6"/>
    <row r="16" spans="1:18" s="42" customFormat="1" ht="24.75" x14ac:dyDescent="0.6"/>
    <row r="17" spans="1:10" s="42" customFormat="1" ht="24.75" x14ac:dyDescent="0.6"/>
    <row r="18" spans="1:10" s="42" customFormat="1" ht="24.75" x14ac:dyDescent="0.6"/>
    <row r="19" spans="1:10" s="42" customFormat="1" ht="24.75" x14ac:dyDescent="0.6"/>
    <row r="20" spans="1:10" s="42" customFormat="1" ht="24.75" x14ac:dyDescent="0.6"/>
    <row r="21" spans="1:10" s="42" customFormat="1" ht="24.75" x14ac:dyDescent="0.6"/>
    <row r="22" spans="1:10" s="42" customFormat="1" ht="74.25" x14ac:dyDescent="0.6">
      <c r="B22" s="66"/>
      <c r="C22" s="66"/>
      <c r="D22" s="67" t="s">
        <v>69</v>
      </c>
      <c r="E22" s="67" t="s">
        <v>70</v>
      </c>
      <c r="F22" s="67" t="s">
        <v>71</v>
      </c>
      <c r="G22" s="68" t="s">
        <v>72</v>
      </c>
      <c r="H22" s="68" t="s">
        <v>73</v>
      </c>
      <c r="I22" s="69">
        <v>1E-3</v>
      </c>
      <c r="J22" s="68" t="s">
        <v>74</v>
      </c>
    </row>
    <row r="23" spans="1:10" s="42" customFormat="1" ht="24.75" x14ac:dyDescent="0.6">
      <c r="A23" s="70" t="s">
        <v>63</v>
      </c>
      <c r="B23" s="71" t="s">
        <v>37</v>
      </c>
      <c r="C23" s="72">
        <f>D23*E23*F23*H23*I23*J23</f>
        <v>1.4040000000000001</v>
      </c>
      <c r="D23" s="43">
        <v>1</v>
      </c>
      <c r="E23" s="43">
        <v>1</v>
      </c>
      <c r="F23" s="43">
        <v>0.3</v>
      </c>
      <c r="G23" s="73">
        <f>O3</f>
        <v>261</v>
      </c>
      <c r="H23" s="43">
        <v>40</v>
      </c>
      <c r="I23" s="43">
        <f>I22</f>
        <v>1E-3</v>
      </c>
      <c r="J23" s="43">
        <f>O2</f>
        <v>117</v>
      </c>
    </row>
    <row r="24" spans="1:10" s="42" customFormat="1" ht="24.75" x14ac:dyDescent="0.6"/>
    <row r="25" spans="1:10" s="42" customFormat="1" ht="24.75" x14ac:dyDescent="0.6"/>
    <row r="26" spans="1:10" s="42" customFormat="1" ht="24.75" x14ac:dyDescent="0.6"/>
    <row r="27" spans="1:10" s="42" customFormat="1" ht="28.5" customHeight="1" x14ac:dyDescent="0.6"/>
    <row r="28" spans="1:10" s="42" customFormat="1" ht="24.75" x14ac:dyDescent="0.6"/>
    <row r="29" spans="1:10" ht="43.5" customHeight="1" x14ac:dyDescent="0.55000000000000004">
      <c r="D29" s="2">
        <f>D23*E23*F23*G23*H23*J23</f>
        <v>366444</v>
      </c>
    </row>
  </sheetData>
  <pageMargins left="0.7" right="0.7" top="0.75" bottom="0.75" header="0.3" footer="0.3"/>
  <pageSetup paperSize="9" scale="50" fitToHeight="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D20"/>
  <sheetViews>
    <sheetView zoomScaleNormal="100" workbookViewId="0">
      <selection activeCell="A12" sqref="A12"/>
    </sheetView>
  </sheetViews>
  <sheetFormatPr defaultColWidth="9" defaultRowHeight="24" x14ac:dyDescent="0.55000000000000004"/>
  <cols>
    <col min="1" max="1" width="25" style="1" customWidth="1"/>
    <col min="2" max="2" width="13.25" style="1" customWidth="1"/>
    <col min="3" max="3" width="7.75" style="1" customWidth="1"/>
    <col min="4" max="14" width="6.625" style="1" customWidth="1"/>
    <col min="15" max="16384" width="9" style="1"/>
  </cols>
  <sheetData>
    <row r="1" spans="1:30" s="42" customFormat="1" ht="24.75" x14ac:dyDescent="0.6">
      <c r="A1" s="120" t="s">
        <v>75</v>
      </c>
      <c r="B1" s="121"/>
    </row>
    <row r="2" spans="1:30" s="42" customFormat="1" ht="24.75" x14ac:dyDescent="0.6">
      <c r="A2" s="121"/>
      <c r="B2" s="121"/>
      <c r="C2" s="43" t="s">
        <v>7</v>
      </c>
      <c r="D2" s="43" t="s">
        <v>8</v>
      </c>
      <c r="E2" s="43" t="s">
        <v>9</v>
      </c>
      <c r="F2" s="43" t="s">
        <v>10</v>
      </c>
      <c r="G2" s="43" t="s">
        <v>11</v>
      </c>
      <c r="H2" s="43" t="s">
        <v>12</v>
      </c>
      <c r="I2" s="43" t="s">
        <v>13</v>
      </c>
      <c r="J2" s="43" t="s">
        <v>14</v>
      </c>
      <c r="K2" s="43" t="s">
        <v>15</v>
      </c>
      <c r="L2" s="43" t="s">
        <v>16</v>
      </c>
      <c r="M2" s="43" t="s">
        <v>17</v>
      </c>
      <c r="N2" s="43" t="s">
        <v>18</v>
      </c>
      <c r="O2" s="43" t="s">
        <v>19</v>
      </c>
    </row>
    <row r="3" spans="1:30" s="42" customFormat="1" ht="27.75" x14ac:dyDescent="0.6">
      <c r="A3" s="42" t="s">
        <v>83</v>
      </c>
      <c r="C3" s="44">
        <f>+S3/56*19</f>
        <v>21.5688</v>
      </c>
      <c r="D3" s="44">
        <f t="shared" ref="D3:N3" si="0">+T3/56*19</f>
        <v>18.627600000000001</v>
      </c>
      <c r="E3" s="44">
        <f t="shared" si="0"/>
        <v>21.5688</v>
      </c>
      <c r="F3" s="44">
        <f t="shared" si="0"/>
        <v>17.647199999999998</v>
      </c>
      <c r="G3" s="44">
        <f t="shared" si="0"/>
        <v>20.588399999999996</v>
      </c>
      <c r="H3" s="44">
        <f t="shared" si="0"/>
        <v>19.608000000000001</v>
      </c>
      <c r="I3" s="44">
        <f t="shared" si="0"/>
        <v>19.608000000000001</v>
      </c>
      <c r="J3" s="44">
        <f t="shared" si="0"/>
        <v>20.588399999999996</v>
      </c>
      <c r="K3" s="44">
        <f t="shared" si="0"/>
        <v>20.588399999999996</v>
      </c>
      <c r="L3" s="44">
        <f t="shared" si="0"/>
        <v>20.588399999999996</v>
      </c>
      <c r="M3" s="44">
        <f t="shared" si="0"/>
        <v>20.588399999999996</v>
      </c>
      <c r="N3" s="44">
        <f t="shared" si="0"/>
        <v>18.627600000000001</v>
      </c>
      <c r="O3" s="44">
        <f>SUM(C3:N3)</f>
        <v>240.19800000000001</v>
      </c>
      <c r="S3" s="42">
        <v>63.571199999999997</v>
      </c>
      <c r="T3" s="42">
        <v>54.9024</v>
      </c>
      <c r="U3" s="42">
        <v>63.571199999999997</v>
      </c>
      <c r="V3" s="42">
        <v>52.012799999999999</v>
      </c>
      <c r="W3" s="42">
        <v>60.681599999999996</v>
      </c>
      <c r="X3" s="42">
        <v>57.792000000000002</v>
      </c>
      <c r="Y3" s="42">
        <v>57.792000000000002</v>
      </c>
      <c r="Z3" s="42">
        <v>60.681599999999996</v>
      </c>
      <c r="AA3" s="42">
        <v>60.681599999999996</v>
      </c>
      <c r="AB3" s="42">
        <v>60.681599999999996</v>
      </c>
      <c r="AC3" s="42">
        <v>60.681599999999996</v>
      </c>
      <c r="AD3" s="42">
        <v>54.9024</v>
      </c>
    </row>
    <row r="4" spans="1:30" s="42" customFormat="1" ht="27.75" x14ac:dyDescent="0.6">
      <c r="A4" s="42" t="s">
        <v>84</v>
      </c>
      <c r="C4" s="45">
        <f>C3*0.8</f>
        <v>17.255040000000001</v>
      </c>
      <c r="D4" s="45">
        <f t="shared" ref="D4:O4" si="1">D3*0.8</f>
        <v>14.902080000000002</v>
      </c>
      <c r="E4" s="45">
        <f t="shared" si="1"/>
        <v>17.255040000000001</v>
      </c>
      <c r="F4" s="45">
        <f t="shared" si="1"/>
        <v>14.117759999999999</v>
      </c>
      <c r="G4" s="45">
        <f t="shared" si="1"/>
        <v>16.470719999999996</v>
      </c>
      <c r="H4" s="45">
        <f t="shared" si="1"/>
        <v>15.686400000000001</v>
      </c>
      <c r="I4" s="45">
        <f t="shared" si="1"/>
        <v>15.686400000000001</v>
      </c>
      <c r="J4" s="45">
        <f t="shared" si="1"/>
        <v>16.470719999999996</v>
      </c>
      <c r="K4" s="45">
        <f t="shared" si="1"/>
        <v>16.470719999999996</v>
      </c>
      <c r="L4" s="45">
        <f t="shared" si="1"/>
        <v>16.470719999999996</v>
      </c>
      <c r="M4" s="45">
        <f t="shared" si="1"/>
        <v>16.470719999999996</v>
      </c>
      <c r="N4" s="45">
        <f t="shared" si="1"/>
        <v>14.902080000000002</v>
      </c>
      <c r="O4" s="45">
        <f t="shared" si="1"/>
        <v>192.15840000000003</v>
      </c>
    </row>
    <row r="5" spans="1:30" s="42" customFormat="1" ht="24.75" x14ac:dyDescent="0.6">
      <c r="A5" s="42" t="s">
        <v>76</v>
      </c>
    </row>
    <row r="6" spans="1:30" s="42" customFormat="1" ht="24.75" x14ac:dyDescent="0.6"/>
    <row r="7" spans="1:30" s="42" customFormat="1" ht="24.75" x14ac:dyDescent="0.6">
      <c r="A7" s="46" t="s">
        <v>77</v>
      </c>
      <c r="L7" s="47"/>
    </row>
    <row r="8" spans="1:30" s="42" customFormat="1" ht="24.75" x14ac:dyDescent="0.6">
      <c r="A8" s="48" t="s">
        <v>78</v>
      </c>
    </row>
    <row r="9" spans="1:30" s="42" customFormat="1" ht="24.75" x14ac:dyDescent="0.6">
      <c r="A9" s="48" t="s">
        <v>79</v>
      </c>
    </row>
    <row r="10" spans="1:30" s="42" customFormat="1" ht="24.75" x14ac:dyDescent="0.6">
      <c r="A10" s="48" t="s">
        <v>80</v>
      </c>
    </row>
    <row r="11" spans="1:30" s="42" customFormat="1" ht="24.75" x14ac:dyDescent="0.6">
      <c r="A11" s="49" t="s">
        <v>85</v>
      </c>
      <c r="B11" s="50" t="s">
        <v>7</v>
      </c>
      <c r="C11" s="43" t="s">
        <v>8</v>
      </c>
      <c r="D11" s="43" t="s">
        <v>9</v>
      </c>
      <c r="E11" s="43" t="s">
        <v>10</v>
      </c>
      <c r="F11" s="43" t="s">
        <v>11</v>
      </c>
      <c r="G11" s="43" t="s">
        <v>12</v>
      </c>
      <c r="H11" s="43" t="s">
        <v>13</v>
      </c>
      <c r="I11" s="43" t="s">
        <v>14</v>
      </c>
      <c r="J11" s="43" t="s">
        <v>15</v>
      </c>
      <c r="K11" s="43" t="s">
        <v>16</v>
      </c>
      <c r="L11" s="43" t="s">
        <v>17</v>
      </c>
      <c r="M11" s="43" t="s">
        <v>18</v>
      </c>
      <c r="N11" s="43" t="s">
        <v>19</v>
      </c>
    </row>
    <row r="12" spans="1:30" s="42" customFormat="1" ht="24.75" x14ac:dyDescent="0.6">
      <c r="A12" s="54" t="s">
        <v>81</v>
      </c>
      <c r="B12" s="45">
        <f t="shared" ref="B12:N12" si="2">C4</f>
        <v>17.255040000000001</v>
      </c>
      <c r="C12" s="45">
        <f t="shared" si="2"/>
        <v>14.902080000000002</v>
      </c>
      <c r="D12" s="45">
        <f t="shared" si="2"/>
        <v>17.255040000000001</v>
      </c>
      <c r="E12" s="45">
        <f t="shared" si="2"/>
        <v>14.117759999999999</v>
      </c>
      <c r="F12" s="45">
        <f t="shared" si="2"/>
        <v>16.470719999999996</v>
      </c>
      <c r="G12" s="45">
        <f t="shared" si="2"/>
        <v>15.686400000000001</v>
      </c>
      <c r="H12" s="45">
        <f t="shared" si="2"/>
        <v>15.686400000000001</v>
      </c>
      <c r="I12" s="45">
        <f t="shared" si="2"/>
        <v>16.470719999999996</v>
      </c>
      <c r="J12" s="45">
        <f t="shared" si="2"/>
        <v>16.470719999999996</v>
      </c>
      <c r="K12" s="45">
        <f t="shared" si="2"/>
        <v>16.470719999999996</v>
      </c>
      <c r="L12" s="45">
        <f t="shared" si="2"/>
        <v>16.470719999999996</v>
      </c>
      <c r="M12" s="45">
        <f t="shared" si="2"/>
        <v>14.902080000000002</v>
      </c>
      <c r="N12" s="45">
        <f t="shared" si="2"/>
        <v>192.15840000000003</v>
      </c>
    </row>
    <row r="13" spans="1:30" s="42" customFormat="1" ht="24.75" x14ac:dyDescent="0.6">
      <c r="A13" s="51" t="s">
        <v>82</v>
      </c>
      <c r="B13" s="52">
        <f>0.2*B12*0.12</f>
        <v>0.41412096000000004</v>
      </c>
      <c r="C13" s="52">
        <f t="shared" ref="C13:N13" si="3">0.2*C12*0.12</f>
        <v>0.35764992000000001</v>
      </c>
      <c r="D13" s="52">
        <f t="shared" si="3"/>
        <v>0.41412096000000004</v>
      </c>
      <c r="E13" s="52">
        <f t="shared" si="3"/>
        <v>0.33882623999999995</v>
      </c>
      <c r="F13" s="52">
        <f t="shared" si="3"/>
        <v>0.39529727999999992</v>
      </c>
      <c r="G13" s="52">
        <f t="shared" si="3"/>
        <v>0.37647360000000007</v>
      </c>
      <c r="H13" s="52">
        <f t="shared" si="3"/>
        <v>0.37647360000000007</v>
      </c>
      <c r="I13" s="52">
        <f t="shared" si="3"/>
        <v>0.39529727999999992</v>
      </c>
      <c r="J13" s="52">
        <f t="shared" si="3"/>
        <v>0.39529727999999992</v>
      </c>
      <c r="K13" s="52">
        <f t="shared" si="3"/>
        <v>0.39529727999999992</v>
      </c>
      <c r="L13" s="52">
        <f t="shared" si="3"/>
        <v>0.39529727999999992</v>
      </c>
      <c r="M13" s="52">
        <f t="shared" si="3"/>
        <v>0.35764992000000001</v>
      </c>
      <c r="N13" s="52">
        <f t="shared" si="3"/>
        <v>4.6118016000000006</v>
      </c>
    </row>
    <row r="14" spans="1:30" s="42" customFormat="1" ht="24.75" x14ac:dyDescent="0.6">
      <c r="B14" s="53"/>
    </row>
    <row r="15" spans="1:30" s="42" customFormat="1" ht="24.75" x14ac:dyDescent="0.6"/>
    <row r="16" spans="1:30" s="42" customFormat="1" ht="24.75" x14ac:dyDescent="0.6"/>
    <row r="17" s="42" customFormat="1" ht="24.75" x14ac:dyDescent="0.6"/>
    <row r="18" s="42" customFormat="1" ht="24.75" x14ac:dyDescent="0.6"/>
    <row r="19" s="42" customFormat="1" ht="24.75" x14ac:dyDescent="0.6"/>
    <row r="20" s="42" customFormat="1" ht="24.75" x14ac:dyDescent="0.6"/>
  </sheetData>
  <mergeCells count="1">
    <mergeCell ref="A1:B2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เทียบข้อมูลก๊าซเรือนกระจก</vt:lpstr>
      <vt:lpstr>สรุปการคำนวณ</vt:lpstr>
      <vt:lpstr>CH4จากระบบ septic tank</vt:lpstr>
      <vt:lpstr>CH4จากบ่อบำบัดไม่เติมอากาศ</vt:lpstr>
      <vt:lpstr>'CH4จากระบบ septic tank'!Print_Area</vt:lpstr>
      <vt:lpstr>สรุปการคำนวณ!Print_Area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thada</dc:creator>
  <cp:keywords/>
  <dc:description/>
  <cp:lastModifiedBy>Nopparat</cp:lastModifiedBy>
  <cp:revision/>
  <dcterms:created xsi:type="dcterms:W3CDTF">2015-02-17T07:08:20Z</dcterms:created>
  <dcterms:modified xsi:type="dcterms:W3CDTF">2021-08-12T06:54:51Z</dcterms:modified>
  <cp:category/>
  <cp:contentStatus/>
</cp:coreProperties>
</file>